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RODUK JR\"/>
    </mc:Choice>
  </mc:AlternateContent>
  <bookViews>
    <workbookView xWindow="-960" yWindow="-30" windowWidth="9990" windowHeight="8070" tabRatio="879" firstSheet="2" activeTab="2"/>
  </bookViews>
  <sheets>
    <sheet name="TOTAL (2)" sheetId="97" state="hidden" r:id="rId1"/>
    <sheet name="TOTAL" sheetId="55" state="hidden" r:id="rId2"/>
    <sheet name="REKAP GEDUNG" sheetId="48" r:id="rId3"/>
    <sheet name="GEDUNG" sheetId="49" r:id="rId4"/>
    <sheet name="BACK UP " sheetId="51" state="hidden" r:id="rId5"/>
    <sheet name="Ans alat" sheetId="46" state="hidden" r:id="rId6"/>
    <sheet name="Daftar Alat" sheetId="4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ir">#REF!</definedName>
    <definedName name="Alumunium">'[1]BAHAN Dekat'!$F$140</definedName>
    <definedName name="amplas">#REF!</definedName>
    <definedName name="baja1">'[2]BAHAN Dekat'!$F$79</definedName>
    <definedName name="Bakfiber">#REF!</definedName>
    <definedName name="Bata">#REF!</definedName>
    <definedName name="batualam">#REF!</definedName>
    <definedName name="batubelah" localSheetId="4">'[3]BAHAN Dekat'!$F$22</definedName>
    <definedName name="batubelah">'[4]BAHAN Dekat'!$F$24</definedName>
    <definedName name="BEKISTINGBALOK">#REF!</definedName>
    <definedName name="bekistingdinding">#REF!</definedName>
    <definedName name="bekistingkolom">#REF!</definedName>
    <definedName name="Bekistinglantai">#REF!</definedName>
    <definedName name="bekistingpondasi">#REF!</definedName>
    <definedName name="bekistingsloof">#REF!</definedName>
    <definedName name="bekistingtangga">#REF!</definedName>
    <definedName name="Besi100Kg">#REF!</definedName>
    <definedName name="besibeton" localSheetId="4">'[5]BAHAN Dekat'!$F$74</definedName>
    <definedName name="besibeton">#REF!</definedName>
    <definedName name="besiprofil" localSheetId="4">'[6]BAHAN Dekat'!$F$80</definedName>
    <definedName name="BESIPROFIL">#REF!</definedName>
    <definedName name="Catdasar">#REF!</definedName>
    <definedName name="catkilat">#REF!</definedName>
    <definedName name="Cattembok">'[7]BAHAN Dekat'!$F$113</definedName>
    <definedName name="cattembok1">#REF!</definedName>
    <definedName name="cattembok2">#REF!</definedName>
    <definedName name="cerucuk">#REF!</definedName>
    <definedName name="conblock">#REF!</definedName>
    <definedName name="Dempul">#REF!</definedName>
    <definedName name="Dolken" localSheetId="4">'[8]BAHAN Dekat'!$F$68</definedName>
    <definedName name="dolken">#REF!</definedName>
    <definedName name="Floordrain">#REF!</definedName>
    <definedName name="Gentengmetal3mm">#REF!</definedName>
    <definedName name="Granit">#REF!</definedName>
    <definedName name="Gypsum">#REF!</definedName>
    <definedName name="hollow30x30">#REF!</definedName>
    <definedName name="k.175">#REF!</definedName>
    <definedName name="Kaca5mm">#REF!</definedName>
    <definedName name="kawat" localSheetId="4">'[5]BAHAN Dekat'!$F$75</definedName>
    <definedName name="kawat">#REF!</definedName>
    <definedName name="KayuI">#REF!</definedName>
    <definedName name="KayuII" localSheetId="4">'[8]BAHAN Dekat'!$F$62</definedName>
    <definedName name="KayuII">#REF!</definedName>
    <definedName name="kayuIII" localSheetId="4">'[5]BAHAN Dekat'!$F$63</definedName>
    <definedName name="KayuIII">#REF!</definedName>
    <definedName name="kduo">#REF!</definedName>
    <definedName name="Kepala" localSheetId="4">'[3]BAHAN Dekat'!$F$6</definedName>
    <definedName name="Kepala">#REF!</definedName>
    <definedName name="keramik20x20">#REF!</definedName>
    <definedName name="keramik20x25">#REF!</definedName>
    <definedName name="keramik25x25">#REF!</definedName>
    <definedName name="keramik30x30">#REF!</definedName>
    <definedName name="keramik40x40">#REF!</definedName>
    <definedName name="kerikil" localSheetId="4">'[5]BAHAN Dekat'!$F$23</definedName>
    <definedName name="kerikil">#REF!</definedName>
    <definedName name="klosetduduk">#REF!</definedName>
    <definedName name="klosetjongkok">#REF!</definedName>
    <definedName name="Kranair">#REF!</definedName>
    <definedName name="kuas">#REF!</definedName>
    <definedName name="lemkayu">#REF!</definedName>
    <definedName name="List3x3">'[7]BAHAN Dekat'!$F$61</definedName>
    <definedName name="List7">#REF!</definedName>
    <definedName name="Mandor" localSheetId="4">'[3]BAHAN Dekat'!$F$9</definedName>
    <definedName name="Mandor">#REF!</definedName>
    <definedName name="Minyak" localSheetId="4">'[5]BAHAN Dekat'!$F$124</definedName>
    <definedName name="minyak">#REF!</definedName>
    <definedName name="minyakpelumas" localSheetId="4">'[6]BAHAN Dekat'!$F$125</definedName>
    <definedName name="minyakpelumas">'[9]BAHAN Dekat'!$F$126</definedName>
    <definedName name="Minyaktanah">'[7]BAHAN Dekat'!$F$120</definedName>
    <definedName name="Nokmetal3mm">#REF!</definedName>
    <definedName name="operator">#REF!</definedName>
    <definedName name="Overhead">#REF!</definedName>
    <definedName name="P" localSheetId="2">'REKAP GEDUNG'!$B$4:$H$30</definedName>
    <definedName name="P" localSheetId="1">TOTAL!$B$3:$H$18</definedName>
    <definedName name="P" localSheetId="0">'TOTAL (2)'!$B$3:$H$19</definedName>
    <definedName name="paku" localSheetId="4">'[5]BAHAN Dekat'!$F$79</definedName>
    <definedName name="paku">#REF!</definedName>
    <definedName name="PakuBulian">#REF!</definedName>
    <definedName name="Pakuhalus">#REF!</definedName>
    <definedName name="pakuseng">#REF!</definedName>
    <definedName name="papanI">#REF!</definedName>
    <definedName name="papanII">#REF!</definedName>
    <definedName name="papanIII">#REF!</definedName>
    <definedName name="pasirbeton">#REF!</definedName>
    <definedName name="pasirkg">#REF!</definedName>
    <definedName name="pasirpas" localSheetId="4">'[3]BAHAN Dekat'!$F$14</definedName>
    <definedName name="Pasirpas">#REF!</definedName>
    <definedName name="pasirurug">#REF!</definedName>
    <definedName name="Pc.40">#REF!</definedName>
    <definedName name="Pc.50" localSheetId="4">'[5]BAHAN Dekat'!$F$19</definedName>
    <definedName name="Pc.50">#REF!</definedName>
    <definedName name="Pcwarna">#REF!</definedName>
    <definedName name="Pekerja" localSheetId="4">'[3]BAHAN Dekat'!$F$8</definedName>
    <definedName name="Pekerja">#REF!</definedName>
    <definedName name="pelumas">'[2]BAHAN Dekat'!$F$127</definedName>
    <definedName name="pintualuminium">#REF!</definedName>
    <definedName name="Plamir">#REF!</definedName>
    <definedName name="Plywood9" localSheetId="4">'[8]BAHAN Dekat'!$F$69</definedName>
    <definedName name="Plywood9">#REF!</definedName>
    <definedName name="_xlnm.Print_Area" localSheetId="4">'BACK UP '!$A$1:$K$853</definedName>
    <definedName name="_xlnm.Print_Area" localSheetId="3">GEDUNG!$B$1:$J$345</definedName>
    <definedName name="_xlnm.Print_Area" localSheetId="2">'REKAP GEDUNG'!$B$2:$H$42</definedName>
    <definedName name="_xlnm.Print_Area" localSheetId="1">TOTAL!$B$2:$H$30</definedName>
    <definedName name="_xlnm.Print_Area" localSheetId="0">'TOTAL (2)'!$B$2:$H$21</definedName>
    <definedName name="_xlnm.Print_Titles" localSheetId="3">GEDUNG!$2:$12</definedName>
    <definedName name="profilaluminium">#REF!</definedName>
    <definedName name="profilkaca">#REF!</definedName>
    <definedName name="ReadyMix">'[10]BAHAN Dekat'!$F$13</definedName>
    <definedName name="Residu">'[7]BAHAN Dekat'!$F$139</definedName>
    <definedName name="saklartunggal">'[7]BAHAN Dekat'!$F$83</definedName>
    <definedName name="sealant">#REF!</definedName>
    <definedName name="sealtape">#REF!</definedName>
    <definedName name="Semen" localSheetId="4">'[3]BAHAN Dekat'!$F$16</definedName>
    <definedName name="Semen">#REF!</definedName>
    <definedName name="SengBJLS20">'[7]BAHAN Dekat'!$F$42</definedName>
    <definedName name="senggelombang">#REF!</definedName>
    <definedName name="sengplat">'[7]BAHAN Dekat'!$F$43</definedName>
    <definedName name="skrup">#REF!</definedName>
    <definedName name="skrupfixer">#REF!</definedName>
    <definedName name="solar" localSheetId="4">'[6]BAHAN Dekat'!$F$124</definedName>
    <definedName name="solar">'[9]BAHAN Dekat'!$F$125</definedName>
    <definedName name="split">#REF!</definedName>
    <definedName name="Strip">'[7]BAHAN Dekat'!$F$73</definedName>
    <definedName name="Tanah">#REF!</definedName>
    <definedName name="teakwood">#REF!</definedName>
    <definedName name="tedenglayar">#REF!</definedName>
    <definedName name="Tukang" localSheetId="4">'[3]BAHAN Dekat'!$F$7</definedName>
    <definedName name="Tukang">#REF!</definedName>
    <definedName name="urinoir">'[11]BAHAN Dekat'!$F$85</definedName>
    <definedName name="vernis">#REF!</definedName>
    <definedName name="Wastafel">#REF!</definedName>
  </definedNames>
  <calcPr calcId="162913"/>
</workbook>
</file>

<file path=xl/calcChain.xml><?xml version="1.0" encoding="utf-8"?>
<calcChain xmlns="http://schemas.openxmlformats.org/spreadsheetml/2006/main">
  <c r="G246" i="49" l="1"/>
  <c r="J228" i="49"/>
  <c r="G169" i="49"/>
  <c r="G170" i="49" s="1"/>
  <c r="G165" i="49"/>
  <c r="G164" i="49"/>
  <c r="J164" i="49" s="1"/>
  <c r="G162" i="49"/>
  <c r="G157" i="49"/>
  <c r="G158" i="49" s="1"/>
  <c r="G153" i="49"/>
  <c r="J152" i="49"/>
  <c r="G150" i="49"/>
  <c r="G111" i="49"/>
  <c r="G110" i="49"/>
  <c r="G81" i="49"/>
  <c r="G42" i="49"/>
  <c r="G41" i="49"/>
  <c r="G61" i="49"/>
  <c r="G52" i="49"/>
  <c r="G51" i="49"/>
  <c r="L180" i="49"/>
  <c r="N180" i="49" s="1"/>
  <c r="G195" i="49"/>
  <c r="J195" i="49" s="1"/>
  <c r="G193" i="49"/>
  <c r="G191" i="49"/>
  <c r="G190" i="49"/>
  <c r="G189" i="49"/>
  <c r="G188" i="49"/>
  <c r="G187" i="49"/>
  <c r="G186" i="49"/>
  <c r="J185" i="49"/>
  <c r="L169" i="49"/>
  <c r="N169" i="49" s="1"/>
  <c r="N170" i="49" s="1"/>
  <c r="P170" i="49" s="1"/>
  <c r="G184" i="49"/>
  <c r="J184" i="49" s="1"/>
  <c r="B327" i="49"/>
  <c r="B329" i="49"/>
  <c r="B331" i="49"/>
  <c r="J186" i="49" l="1"/>
  <c r="J188" i="49"/>
  <c r="J187" i="49"/>
  <c r="G115" i="49"/>
  <c r="G114" i="49"/>
  <c r="G60" i="49"/>
  <c r="L45" i="49"/>
  <c r="G46" i="49"/>
  <c r="G33" i="49"/>
  <c r="G34" i="49" s="1"/>
  <c r="L34" i="49"/>
  <c r="D200" i="49"/>
  <c r="C655" i="51" s="1"/>
  <c r="J29" i="49"/>
  <c r="J22" i="49"/>
  <c r="D296" i="49"/>
  <c r="D295" i="49"/>
  <c r="D294" i="49"/>
  <c r="D293" i="49"/>
  <c r="D292" i="49"/>
  <c r="D291" i="49"/>
  <c r="D241" i="49"/>
  <c r="D237" i="49"/>
  <c r="D236" i="49"/>
  <c r="D235" i="49"/>
  <c r="D234" i="49"/>
  <c r="D232" i="49"/>
  <c r="J327" i="49"/>
  <c r="G123" i="49"/>
  <c r="G86" i="49"/>
  <c r="G84" i="49"/>
  <c r="G89" i="49"/>
  <c r="G88" i="49"/>
  <c r="G85" i="49"/>
  <c r="G58" i="49"/>
  <c r="G63" i="49"/>
  <c r="G62" i="49"/>
  <c r="G40" i="49"/>
  <c r="D207" i="49"/>
  <c r="D206" i="49"/>
  <c r="D205" i="49"/>
  <c r="G15" i="49"/>
  <c r="G35" i="49"/>
  <c r="M25" i="49"/>
  <c r="L25" i="49"/>
  <c r="L277" i="49"/>
  <c r="L242" i="49"/>
  <c r="L278" i="49" s="1"/>
  <c r="J246" i="49"/>
  <c r="D297" i="49"/>
  <c r="J297" i="49"/>
  <c r="J254" i="49"/>
  <c r="G206" i="49"/>
  <c r="G181" i="49"/>
  <c r="J181" i="49" s="1"/>
  <c r="J201" i="49"/>
  <c r="G329" i="49"/>
  <c r="G168" i="49"/>
  <c r="L144" i="49"/>
  <c r="L151" i="49" s="1"/>
  <c r="L140" i="49"/>
  <c r="L141" i="49" s="1"/>
  <c r="G156" i="49"/>
  <c r="L15" i="49"/>
  <c r="M15" i="49"/>
  <c r="O15" i="49"/>
  <c r="G325" i="49"/>
  <c r="J325" i="49" s="1"/>
  <c r="J324" i="49"/>
  <c r="G331" i="49"/>
  <c r="J331" i="49" s="1"/>
  <c r="G330" i="49"/>
  <c r="J330" i="49" s="1"/>
  <c r="G183" i="49"/>
  <c r="J183" i="49" s="1"/>
  <c r="B301" i="49"/>
  <c r="B302" i="49" s="1"/>
  <c r="B303" i="49" s="1"/>
  <c r="B304" i="49" s="1"/>
  <c r="B305" i="49" s="1"/>
  <c r="B306" i="49" s="1"/>
  <c r="B307" i="49" s="1"/>
  <c r="G294" i="49"/>
  <c r="J233" i="49"/>
  <c r="G87" i="49"/>
  <c r="L73" i="49"/>
  <c r="L75" i="49" s="1"/>
  <c r="L80" i="49"/>
  <c r="D26" i="48"/>
  <c r="D25" i="48"/>
  <c r="D24" i="48"/>
  <c r="D23" i="48"/>
  <c r="D22" i="48"/>
  <c r="D21" i="48"/>
  <c r="D20" i="48"/>
  <c r="D19" i="48"/>
  <c r="D18" i="48"/>
  <c r="D17" i="48"/>
  <c r="D16" i="48"/>
  <c r="D15" i="48"/>
  <c r="G318" i="49"/>
  <c r="G313" i="49"/>
  <c r="D318" i="49"/>
  <c r="L296" i="49"/>
  <c r="L297" i="49" s="1"/>
  <c r="J170" i="49"/>
  <c r="D170" i="49"/>
  <c r="D165" i="49"/>
  <c r="D162" i="49"/>
  <c r="C614" i="51" s="1"/>
  <c r="D166" i="49"/>
  <c r="D163" i="49"/>
  <c r="C618" i="51" s="1"/>
  <c r="G121" i="49"/>
  <c r="D121" i="49"/>
  <c r="B110" i="49"/>
  <c r="B111" i="49" s="1"/>
  <c r="B112" i="49" s="1"/>
  <c r="B114" i="49" s="1"/>
  <c r="B115" i="49" s="1"/>
  <c r="G154" i="49"/>
  <c r="N102" i="49"/>
  <c r="N108" i="49"/>
  <c r="N107" i="49"/>
  <c r="N105" i="49"/>
  <c r="N104" i="49"/>
  <c r="N103" i="49"/>
  <c r="N101" i="49"/>
  <c r="N100" i="49"/>
  <c r="N99" i="49"/>
  <c r="N98" i="49"/>
  <c r="N97" i="49"/>
  <c r="L86" i="49"/>
  <c r="M94" i="49"/>
  <c r="M93" i="49"/>
  <c r="M92" i="49"/>
  <c r="M91" i="49"/>
  <c r="M90" i="49"/>
  <c r="M89" i="49"/>
  <c r="M88" i="49"/>
  <c r="M87" i="49"/>
  <c r="M86" i="49"/>
  <c r="M85" i="49"/>
  <c r="M83" i="49"/>
  <c r="B82" i="49"/>
  <c r="B83" i="49" s="1"/>
  <c r="G83" i="49"/>
  <c r="G82" i="49"/>
  <c r="M72" i="49"/>
  <c r="B52" i="49"/>
  <c r="B53" i="49" s="1"/>
  <c r="B54" i="49" s="1"/>
  <c r="B55" i="49" s="1"/>
  <c r="B56" i="49" s="1"/>
  <c r="B57" i="49" s="1"/>
  <c r="B58" i="49" s="1"/>
  <c r="B59" i="49" s="1"/>
  <c r="B60" i="49" s="1"/>
  <c r="B61" i="49" s="1"/>
  <c r="B62" i="49" s="1"/>
  <c r="B63" i="49" s="1"/>
  <c r="B64" i="49" s="1"/>
  <c r="B65" i="49" s="1"/>
  <c r="B66" i="49" s="1"/>
  <c r="M61" i="49"/>
  <c r="M62" i="49" s="1"/>
  <c r="G54" i="49"/>
  <c r="G53" i="49"/>
  <c r="G59" i="49"/>
  <c r="M53" i="49"/>
  <c r="B41" i="49"/>
  <c r="B42" i="49" s="1"/>
  <c r="B43" i="49" s="1"/>
  <c r="B44" i="49" s="1"/>
  <c r="B45" i="49" s="1"/>
  <c r="B46" i="49" s="1"/>
  <c r="G45" i="49"/>
  <c r="G44" i="49"/>
  <c r="G43" i="49"/>
  <c r="L42" i="49"/>
  <c r="M37" i="49"/>
  <c r="M36" i="49"/>
  <c r="M35" i="49"/>
  <c r="O35" i="49" s="1"/>
  <c r="M34" i="49"/>
  <c r="J21" i="49"/>
  <c r="G18" i="49"/>
  <c r="D319" i="49"/>
  <c r="D317" i="49"/>
  <c r="G207" i="49"/>
  <c r="G182" i="49"/>
  <c r="G166" i="49"/>
  <c r="G65" i="49"/>
  <c r="J65" i="49" s="1"/>
  <c r="G57" i="49"/>
  <c r="G20" i="49"/>
  <c r="J20" i="49" s="1"/>
  <c r="P10" i="49"/>
  <c r="G24" i="49"/>
  <c r="O16" i="49"/>
  <c r="O14" i="49"/>
  <c r="O13" i="49"/>
  <c r="O12" i="49"/>
  <c r="O11" i="49"/>
  <c r="O10" i="49"/>
  <c r="F6" i="97"/>
  <c r="L24" i="49"/>
  <c r="L26" i="49" s="1"/>
  <c r="D119" i="49"/>
  <c r="D120" i="49"/>
  <c r="D123" i="49"/>
  <c r="D122" i="49"/>
  <c r="B16" i="97"/>
  <c r="B15" i="97"/>
  <c r="B14" i="97"/>
  <c r="F8" i="97"/>
  <c r="F7" i="97"/>
  <c r="J273" i="49"/>
  <c r="J272" i="49"/>
  <c r="J271" i="49"/>
  <c r="J307" i="49"/>
  <c r="J306" i="49"/>
  <c r="J270" i="49"/>
  <c r="J269" i="49"/>
  <c r="J305" i="49"/>
  <c r="J304" i="49"/>
  <c r="J303" i="49"/>
  <c r="J268" i="49"/>
  <c r="J267" i="49"/>
  <c r="J266" i="49"/>
  <c r="J261" i="49"/>
  <c r="J260" i="49"/>
  <c r="J259" i="49"/>
  <c r="J299" i="49"/>
  <c r="J257" i="49"/>
  <c r="J302" i="49"/>
  <c r="J301" i="49"/>
  <c r="J300" i="49"/>
  <c r="J265" i="49"/>
  <c r="J264" i="49"/>
  <c r="J263" i="49"/>
  <c r="J247" i="49"/>
  <c r="J326" i="49"/>
  <c r="G240" i="49"/>
  <c r="G239" i="49"/>
  <c r="G238" i="49"/>
  <c r="G224" i="49"/>
  <c r="J224" i="49" s="1"/>
  <c r="G223" i="49"/>
  <c r="G222" i="49"/>
  <c r="J291" i="49"/>
  <c r="J292" i="49"/>
  <c r="J293" i="49"/>
  <c r="J295" i="49"/>
  <c r="J296" i="49"/>
  <c r="J298" i="49"/>
  <c r="C289" i="49"/>
  <c r="J250" i="49"/>
  <c r="J251" i="49"/>
  <c r="J252" i="49"/>
  <c r="J253" i="49"/>
  <c r="J255" i="49"/>
  <c r="J256" i="49"/>
  <c r="J258" i="49"/>
  <c r="J262" i="49"/>
  <c r="G320" i="49"/>
  <c r="G237" i="49"/>
  <c r="J202" i="49"/>
  <c r="J203" i="49"/>
  <c r="J204" i="49"/>
  <c r="J205" i="49"/>
  <c r="J177" i="49"/>
  <c r="C166" i="49"/>
  <c r="C163" i="49"/>
  <c r="C154" i="49"/>
  <c r="J28" i="49"/>
  <c r="G64" i="49"/>
  <c r="G55" i="49"/>
  <c r="G56" i="49"/>
  <c r="M24" i="49"/>
  <c r="M27" i="49"/>
  <c r="M13" i="49"/>
  <c r="M12" i="49"/>
  <c r="M11" i="49"/>
  <c r="M10" i="49"/>
  <c r="G16" i="49"/>
  <c r="B14" i="55"/>
  <c r="B16" i="55"/>
  <c r="B15" i="55"/>
  <c r="F8" i="55"/>
  <c r="F7" i="55"/>
  <c r="F6" i="55"/>
  <c r="J249" i="49"/>
  <c r="G236" i="49"/>
  <c r="G221" i="49"/>
  <c r="J180" i="49"/>
  <c r="J176" i="49"/>
  <c r="J179" i="49"/>
  <c r="F8" i="48"/>
  <c r="F7" i="48"/>
  <c r="F9" i="48"/>
  <c r="C829" i="51"/>
  <c r="G851" i="51"/>
  <c r="K851" i="51" s="1"/>
  <c r="G850" i="51"/>
  <c r="K850" i="51"/>
  <c r="H849" i="51"/>
  <c r="G849" i="51"/>
  <c r="G848" i="51"/>
  <c r="K848" i="51" s="1"/>
  <c r="K847" i="51"/>
  <c r="K846" i="51"/>
  <c r="K845" i="51"/>
  <c r="K844" i="51"/>
  <c r="K843" i="51"/>
  <c r="K842" i="51"/>
  <c r="G841" i="51"/>
  <c r="K841" i="51" s="1"/>
  <c r="K840" i="51"/>
  <c r="K839" i="51"/>
  <c r="K838" i="51"/>
  <c r="H837" i="51"/>
  <c r="G837" i="51"/>
  <c r="K837" i="51"/>
  <c r="K836" i="51"/>
  <c r="G835" i="51"/>
  <c r="K835" i="51" s="1"/>
  <c r="K834" i="51"/>
  <c r="K833" i="51"/>
  <c r="K832" i="51"/>
  <c r="K831" i="51"/>
  <c r="K830" i="51"/>
  <c r="C801" i="51"/>
  <c r="G827" i="51"/>
  <c r="K827" i="51" s="1"/>
  <c r="G826" i="51"/>
  <c r="K826" i="51" s="1"/>
  <c r="G825" i="51"/>
  <c r="K825" i="51" s="1"/>
  <c r="G824" i="51"/>
  <c r="K824" i="51" s="1"/>
  <c r="K823" i="51"/>
  <c r="K822" i="51"/>
  <c r="K821" i="51"/>
  <c r="G820" i="51"/>
  <c r="K820" i="51" s="1"/>
  <c r="G819" i="51"/>
  <c r="K819" i="51"/>
  <c r="G818" i="51"/>
  <c r="K818" i="51" s="1"/>
  <c r="K817" i="51"/>
  <c r="G816" i="51"/>
  <c r="K816" i="51" s="1"/>
  <c r="K815" i="51"/>
  <c r="K814" i="51"/>
  <c r="K813" i="51"/>
  <c r="K812" i="51"/>
  <c r="K811" i="51"/>
  <c r="K810" i="51"/>
  <c r="K809" i="51"/>
  <c r="K808" i="51"/>
  <c r="K807" i="51"/>
  <c r="K806" i="51"/>
  <c r="K805" i="51"/>
  <c r="K804" i="51"/>
  <c r="K803" i="51"/>
  <c r="K802" i="51"/>
  <c r="C773" i="51"/>
  <c r="G799" i="51"/>
  <c r="K799" i="51"/>
  <c r="G798" i="51"/>
  <c r="K798" i="51" s="1"/>
  <c r="G797" i="51"/>
  <c r="K797" i="51" s="1"/>
  <c r="G796" i="51"/>
  <c r="K796" i="51" s="1"/>
  <c r="K795" i="51"/>
  <c r="K794" i="51"/>
  <c r="K793" i="51"/>
  <c r="G792" i="51"/>
  <c r="K792" i="51" s="1"/>
  <c r="G791" i="51"/>
  <c r="K791" i="51" s="1"/>
  <c r="G790" i="51"/>
  <c r="K790" i="51" s="1"/>
  <c r="K789" i="51"/>
  <c r="G788" i="51"/>
  <c r="K788" i="51" s="1"/>
  <c r="K787" i="51"/>
  <c r="K786" i="51"/>
  <c r="K785" i="51"/>
  <c r="K784" i="51"/>
  <c r="K783" i="51"/>
  <c r="K782" i="51"/>
  <c r="K781" i="51"/>
  <c r="K780" i="51"/>
  <c r="K779" i="51"/>
  <c r="K778" i="51"/>
  <c r="K777" i="51"/>
  <c r="K776" i="51"/>
  <c r="K775" i="51"/>
  <c r="K774" i="51"/>
  <c r="B325" i="49"/>
  <c r="C670" i="51"/>
  <c r="K671" i="51"/>
  <c r="K672" i="51" s="1"/>
  <c r="K678" i="51"/>
  <c r="K677" i="51"/>
  <c r="K676" i="51"/>
  <c r="K675" i="51"/>
  <c r="C673" i="51"/>
  <c r="K674" i="51"/>
  <c r="K679" i="51" s="1"/>
  <c r="J178" i="49"/>
  <c r="K668" i="51"/>
  <c r="K667" i="51"/>
  <c r="K666" i="51"/>
  <c r="K665" i="51"/>
  <c r="F664" i="51"/>
  <c r="K664" i="51" s="1"/>
  <c r="F663" i="51"/>
  <c r="K663" i="51"/>
  <c r="F662" i="51"/>
  <c r="K662" i="51" s="1"/>
  <c r="F661" i="51"/>
  <c r="K661" i="51" s="1"/>
  <c r="F660" i="51"/>
  <c r="K660" i="51" s="1"/>
  <c r="F659" i="51"/>
  <c r="K659" i="51" s="1"/>
  <c r="F658" i="51"/>
  <c r="K658" i="51" s="1"/>
  <c r="F657" i="51"/>
  <c r="K657" i="51" s="1"/>
  <c r="F656" i="51"/>
  <c r="K656" i="51" s="1"/>
  <c r="B654" i="51"/>
  <c r="K652" i="51"/>
  <c r="K651" i="51"/>
  <c r="K650" i="51"/>
  <c r="K649" i="51"/>
  <c r="K648" i="51"/>
  <c r="K647" i="51"/>
  <c r="K646" i="51"/>
  <c r="C644" i="51"/>
  <c r="K645" i="51"/>
  <c r="K642" i="51"/>
  <c r="K643" i="51"/>
  <c r="C641" i="51"/>
  <c r="F639" i="51"/>
  <c r="K639" i="51" s="1"/>
  <c r="F638" i="51"/>
  <c r="K638" i="51"/>
  <c r="F637" i="51"/>
  <c r="K637" i="51" s="1"/>
  <c r="F636" i="51"/>
  <c r="K636" i="51"/>
  <c r="F635" i="51"/>
  <c r="K635" i="51" s="1"/>
  <c r="F634" i="51"/>
  <c r="K634" i="51" s="1"/>
  <c r="F633" i="51"/>
  <c r="K633" i="51" s="1"/>
  <c r="F632" i="51"/>
  <c r="F631" i="51"/>
  <c r="K631" i="51" s="1"/>
  <c r="F630" i="51"/>
  <c r="K630" i="51" s="1"/>
  <c r="F628" i="51"/>
  <c r="K628" i="51" s="1"/>
  <c r="F629" i="51"/>
  <c r="K629" i="51" s="1"/>
  <c r="F627" i="51"/>
  <c r="K627" i="51" s="1"/>
  <c r="C626" i="51"/>
  <c r="B625" i="51"/>
  <c r="B624" i="51"/>
  <c r="K325" i="51"/>
  <c r="K324" i="51"/>
  <c r="K323" i="51"/>
  <c r="K326" i="51" s="1"/>
  <c r="K322" i="51"/>
  <c r="K321" i="51"/>
  <c r="K320" i="51"/>
  <c r="C319" i="51"/>
  <c r="C528" i="51"/>
  <c r="K529" i="51"/>
  <c r="K530" i="51"/>
  <c r="K447" i="51"/>
  <c r="K448" i="51" s="1"/>
  <c r="K444" i="51"/>
  <c r="K335" i="51"/>
  <c r="K334" i="51"/>
  <c r="K333" i="51"/>
  <c r="K332" i="51"/>
  <c r="K331" i="51"/>
  <c r="K330" i="51"/>
  <c r="K336" i="51" s="1"/>
  <c r="K329" i="51"/>
  <c r="K328" i="51"/>
  <c r="C327" i="51"/>
  <c r="K239" i="51"/>
  <c r="C446" i="51"/>
  <c r="K599" i="51"/>
  <c r="K598" i="51"/>
  <c r="K597" i="51"/>
  <c r="K596" i="51"/>
  <c r="K595" i="51"/>
  <c r="K594" i="51"/>
  <c r="K593" i="51"/>
  <c r="H592" i="51"/>
  <c r="K592" i="51" s="1"/>
  <c r="C591" i="51"/>
  <c r="G525" i="51"/>
  <c r="K525" i="51" s="1"/>
  <c r="K526" i="51"/>
  <c r="K524" i="51"/>
  <c r="K523" i="51"/>
  <c r="K522" i="51"/>
  <c r="C521" i="51"/>
  <c r="K443" i="51"/>
  <c r="K442" i="51"/>
  <c r="K441" i="51"/>
  <c r="K440" i="51"/>
  <c r="G439" i="51"/>
  <c r="K439" i="51" s="1"/>
  <c r="K438" i="51"/>
  <c r="C437" i="51"/>
  <c r="H569" i="51"/>
  <c r="K569" i="51" s="1"/>
  <c r="K570" i="51" s="1"/>
  <c r="C568" i="51"/>
  <c r="G283" i="51"/>
  <c r="K283" i="51" s="1"/>
  <c r="G282" i="51"/>
  <c r="K282" i="51" s="1"/>
  <c r="K284" i="51" s="1"/>
  <c r="C281" i="51"/>
  <c r="K238" i="51"/>
  <c r="K237" i="51"/>
  <c r="C241" i="51"/>
  <c r="K243" i="51"/>
  <c r="K242" i="51"/>
  <c r="K236" i="51"/>
  <c r="K235" i="51"/>
  <c r="K221" i="51"/>
  <c r="K222" i="51" s="1"/>
  <c r="K218" i="51"/>
  <c r="K219" i="51" s="1"/>
  <c r="K215" i="51"/>
  <c r="K214" i="51"/>
  <c r="C765" i="51"/>
  <c r="K769" i="51"/>
  <c r="K768" i="51"/>
  <c r="K767" i="51"/>
  <c r="K766" i="51"/>
  <c r="K763" i="51"/>
  <c r="K762" i="51"/>
  <c r="K761" i="51"/>
  <c r="K760" i="51"/>
  <c r="C759" i="51"/>
  <c r="C754" i="51"/>
  <c r="K757" i="51"/>
  <c r="L756" i="51"/>
  <c r="K756" i="51" s="1"/>
  <c r="L755" i="51"/>
  <c r="K755" i="51" s="1"/>
  <c r="K752" i="51"/>
  <c r="L751" i="51"/>
  <c r="K751" i="51" s="1"/>
  <c r="L750" i="51"/>
  <c r="K750" i="51" s="1"/>
  <c r="C749" i="51"/>
  <c r="B748" i="51"/>
  <c r="B18" i="48"/>
  <c r="C743" i="51"/>
  <c r="C740" i="51"/>
  <c r="C737" i="51"/>
  <c r="C734" i="51"/>
  <c r="C731" i="51"/>
  <c r="C728" i="51"/>
  <c r="C725" i="51"/>
  <c r="C722" i="51"/>
  <c r="C719" i="51"/>
  <c r="C718" i="51"/>
  <c r="K744" i="51"/>
  <c r="K745" i="51" s="1"/>
  <c r="K741" i="51"/>
  <c r="K742" i="51" s="1"/>
  <c r="K738" i="51"/>
  <c r="K739" i="51" s="1"/>
  <c r="K735" i="51"/>
  <c r="K736" i="51" s="1"/>
  <c r="K732" i="51"/>
  <c r="K733" i="51" s="1"/>
  <c r="K729" i="51"/>
  <c r="K730" i="51" s="1"/>
  <c r="K726" i="51"/>
  <c r="K727" i="51" s="1"/>
  <c r="K723" i="51"/>
  <c r="K724" i="51" s="1"/>
  <c r="K720" i="51"/>
  <c r="K721" i="51" s="1"/>
  <c r="C681" i="51"/>
  <c r="C715" i="51"/>
  <c r="K716" i="51"/>
  <c r="K717" i="51" s="1"/>
  <c r="J227" i="49"/>
  <c r="K713" i="51"/>
  <c r="K714" i="51"/>
  <c r="C712" i="51"/>
  <c r="C709" i="51"/>
  <c r="K707" i="51"/>
  <c r="K708" i="51"/>
  <c r="C706" i="51"/>
  <c r="C703" i="51"/>
  <c r="C700" i="51"/>
  <c r="C697" i="51"/>
  <c r="K695" i="51"/>
  <c r="K696" i="51" s="1"/>
  <c r="C694" i="51"/>
  <c r="K692" i="51"/>
  <c r="K693" i="51" s="1"/>
  <c r="C691" i="51"/>
  <c r="K689" i="51"/>
  <c r="K690" i="51"/>
  <c r="K686" i="51"/>
  <c r="K687" i="51" s="1"/>
  <c r="K683" i="51"/>
  <c r="K684" i="51" s="1"/>
  <c r="K622" i="51"/>
  <c r="K623" i="51" s="1"/>
  <c r="K619" i="51"/>
  <c r="K620" i="51" s="1"/>
  <c r="C621" i="51"/>
  <c r="B613" i="51"/>
  <c r="K616" i="51"/>
  <c r="K615" i="51"/>
  <c r="B602" i="51"/>
  <c r="K611" i="51"/>
  <c r="K612" i="51" s="1"/>
  <c r="C610" i="51"/>
  <c r="K608" i="51"/>
  <c r="K609" i="51" s="1"/>
  <c r="K605" i="51"/>
  <c r="K604" i="51"/>
  <c r="C584" i="51"/>
  <c r="C580" i="51"/>
  <c r="H589" i="51"/>
  <c r="K589" i="51" s="1"/>
  <c r="H588" i="51"/>
  <c r="K588" i="51" s="1"/>
  <c r="H587" i="51"/>
  <c r="K587" i="51"/>
  <c r="H586" i="51"/>
  <c r="K586" i="51"/>
  <c r="H585" i="51"/>
  <c r="K585" i="51"/>
  <c r="K582" i="51"/>
  <c r="K581" i="51"/>
  <c r="H559" i="51"/>
  <c r="K559" i="51"/>
  <c r="H558" i="51"/>
  <c r="K558" i="51"/>
  <c r="H557" i="51"/>
  <c r="K557" i="51"/>
  <c r="H556" i="51"/>
  <c r="K556" i="51" s="1"/>
  <c r="H555" i="51"/>
  <c r="K555" i="51" s="1"/>
  <c r="C554" i="51"/>
  <c r="C550" i="51"/>
  <c r="K552" i="51"/>
  <c r="K551" i="51"/>
  <c r="K548" i="51"/>
  <c r="C545" i="51"/>
  <c r="K547" i="51"/>
  <c r="K546" i="51"/>
  <c r="B571" i="51"/>
  <c r="K578" i="51"/>
  <c r="K577" i="51"/>
  <c r="C575" i="51"/>
  <c r="C572" i="51"/>
  <c r="K576" i="51"/>
  <c r="K573" i="51"/>
  <c r="K574" i="51" s="1"/>
  <c r="B532" i="51"/>
  <c r="K543" i="51"/>
  <c r="G542" i="51"/>
  <c r="K542" i="51"/>
  <c r="G541" i="51"/>
  <c r="K541" i="51" s="1"/>
  <c r="C540" i="51"/>
  <c r="G538" i="51"/>
  <c r="K538" i="51"/>
  <c r="C536" i="51"/>
  <c r="K537" i="51"/>
  <c r="C518" i="51"/>
  <c r="G516" i="51"/>
  <c r="K516" i="51" s="1"/>
  <c r="H514" i="51"/>
  <c r="K514" i="51" s="1"/>
  <c r="G514" i="51"/>
  <c r="H492" i="51"/>
  <c r="G492" i="51"/>
  <c r="H470" i="51"/>
  <c r="G470" i="51"/>
  <c r="C494" i="51"/>
  <c r="G515" i="51"/>
  <c r="K515" i="51" s="1"/>
  <c r="H513" i="51"/>
  <c r="G513" i="51"/>
  <c r="K513" i="51" s="1"/>
  <c r="K512" i="51"/>
  <c r="H512" i="51"/>
  <c r="K511" i="51"/>
  <c r="H511" i="51"/>
  <c r="K510" i="51"/>
  <c r="K509" i="51"/>
  <c r="K508" i="51"/>
  <c r="K507" i="51"/>
  <c r="G506" i="51"/>
  <c r="K506" i="51" s="1"/>
  <c r="K505" i="51"/>
  <c r="K504" i="51"/>
  <c r="K503" i="51"/>
  <c r="H502" i="51"/>
  <c r="G502" i="51"/>
  <c r="K502" i="51" s="1"/>
  <c r="K501" i="51"/>
  <c r="G500" i="51"/>
  <c r="K500" i="51" s="1"/>
  <c r="K499" i="51"/>
  <c r="K498" i="51"/>
  <c r="K497" i="51"/>
  <c r="K496" i="51"/>
  <c r="K495" i="51"/>
  <c r="C472" i="51"/>
  <c r="H491" i="51"/>
  <c r="G491" i="51"/>
  <c r="K491" i="51" s="1"/>
  <c r="K490" i="51"/>
  <c r="H490" i="51"/>
  <c r="K489" i="51"/>
  <c r="H489" i="51"/>
  <c r="K488" i="51"/>
  <c r="K487" i="51"/>
  <c r="K486" i="51"/>
  <c r="K485" i="51"/>
  <c r="G484" i="51"/>
  <c r="K484" i="51" s="1"/>
  <c r="K483" i="51"/>
  <c r="K482" i="51"/>
  <c r="K481" i="51"/>
  <c r="H480" i="51"/>
  <c r="G480" i="51"/>
  <c r="K480" i="51" s="1"/>
  <c r="K479" i="51"/>
  <c r="G478" i="51"/>
  <c r="K478" i="51" s="1"/>
  <c r="K477" i="51"/>
  <c r="K476" i="51"/>
  <c r="K475" i="51"/>
  <c r="K474" i="51"/>
  <c r="K473" i="51"/>
  <c r="H469" i="51"/>
  <c r="G469" i="51"/>
  <c r="K469" i="51" s="1"/>
  <c r="K468" i="51"/>
  <c r="H468" i="51"/>
  <c r="K467" i="51"/>
  <c r="H467" i="51"/>
  <c r="K466" i="51"/>
  <c r="K465" i="51"/>
  <c r="K464" i="51"/>
  <c r="K463" i="51"/>
  <c r="G462" i="51"/>
  <c r="K462" i="51" s="1"/>
  <c r="K461" i="51"/>
  <c r="K460" i="51"/>
  <c r="K459" i="51"/>
  <c r="H458" i="51"/>
  <c r="G458" i="51"/>
  <c r="K458" i="51" s="1"/>
  <c r="K457" i="51"/>
  <c r="G456" i="51"/>
  <c r="K456" i="51" s="1"/>
  <c r="K455" i="51"/>
  <c r="K454" i="51"/>
  <c r="K453" i="51"/>
  <c r="K452" i="51"/>
  <c r="K451" i="51"/>
  <c r="C450" i="51"/>
  <c r="B449" i="51"/>
  <c r="B338" i="51"/>
  <c r="B102" i="49"/>
  <c r="B103" i="49" s="1"/>
  <c r="K380" i="51"/>
  <c r="K379" i="51"/>
  <c r="K378" i="51"/>
  <c r="K377" i="51"/>
  <c r="K375" i="51"/>
  <c r="K374" i="51"/>
  <c r="K83" i="51"/>
  <c r="K82" i="51"/>
  <c r="K125" i="51"/>
  <c r="K124" i="51"/>
  <c r="K168" i="51"/>
  <c r="K169" i="51"/>
  <c r="G373" i="51"/>
  <c r="K373" i="51" s="1"/>
  <c r="K372" i="51"/>
  <c r="K371" i="51"/>
  <c r="K370" i="51"/>
  <c r="C369" i="51"/>
  <c r="G366" i="51"/>
  <c r="K366" i="51" s="1"/>
  <c r="K368" i="51" s="1"/>
  <c r="C363" i="51"/>
  <c r="K367" i="51"/>
  <c r="K365" i="51"/>
  <c r="K364" i="51"/>
  <c r="B96" i="49"/>
  <c r="K565" i="51"/>
  <c r="K564" i="51"/>
  <c r="K563" i="51"/>
  <c r="G562" i="51"/>
  <c r="K562" i="51" s="1"/>
  <c r="K566" i="51"/>
  <c r="C561" i="51"/>
  <c r="K435" i="51"/>
  <c r="K436" i="51" s="1"/>
  <c r="C434" i="51"/>
  <c r="G432" i="51"/>
  <c r="K432" i="51" s="1"/>
  <c r="G431" i="51"/>
  <c r="K431" i="51" s="1"/>
  <c r="G430" i="51"/>
  <c r="K430" i="51" s="1"/>
  <c r="G429" i="51"/>
  <c r="K429" i="51" s="1"/>
  <c r="K428" i="51"/>
  <c r="K427" i="51"/>
  <c r="K404" i="51"/>
  <c r="K403" i="51"/>
  <c r="K361" i="51"/>
  <c r="K360" i="51"/>
  <c r="K426" i="51"/>
  <c r="G425" i="51"/>
  <c r="K425" i="51" s="1"/>
  <c r="G424" i="51"/>
  <c r="K424" i="51"/>
  <c r="G423" i="51"/>
  <c r="K423" i="51" s="1"/>
  <c r="K422" i="51"/>
  <c r="G421" i="51"/>
  <c r="K421" i="51" s="1"/>
  <c r="K420" i="51"/>
  <c r="K419" i="51"/>
  <c r="K418" i="51"/>
  <c r="K417" i="51"/>
  <c r="K416" i="51"/>
  <c r="K415" i="51"/>
  <c r="K414" i="51"/>
  <c r="K413" i="51"/>
  <c r="K412" i="51"/>
  <c r="K411" i="51"/>
  <c r="K410" i="51"/>
  <c r="K409" i="51"/>
  <c r="K408" i="51"/>
  <c r="K407" i="51"/>
  <c r="K402" i="51"/>
  <c r="G401" i="51"/>
  <c r="K401" i="51"/>
  <c r="G400" i="51"/>
  <c r="K400" i="51"/>
  <c r="G399" i="51"/>
  <c r="K399" i="51" s="1"/>
  <c r="K398" i="51"/>
  <c r="G397" i="51"/>
  <c r="K397" i="51" s="1"/>
  <c r="K396" i="51"/>
  <c r="K395" i="51"/>
  <c r="K394" i="51"/>
  <c r="K393" i="51"/>
  <c r="K392" i="51"/>
  <c r="K391" i="51"/>
  <c r="K390" i="51"/>
  <c r="K389" i="51"/>
  <c r="K388" i="51"/>
  <c r="K387" i="51"/>
  <c r="K386" i="51"/>
  <c r="K385" i="51"/>
  <c r="K384" i="51"/>
  <c r="K383" i="51"/>
  <c r="G358" i="51"/>
  <c r="K358" i="51" s="1"/>
  <c r="G357" i="51"/>
  <c r="K357" i="51" s="1"/>
  <c r="G356" i="51"/>
  <c r="K356" i="51" s="1"/>
  <c r="G354" i="51"/>
  <c r="K354" i="51" s="1"/>
  <c r="K353" i="51"/>
  <c r="K344" i="51"/>
  <c r="K343" i="51"/>
  <c r="K167" i="51"/>
  <c r="K166" i="51"/>
  <c r="K165" i="51"/>
  <c r="K164" i="51"/>
  <c r="K163" i="51"/>
  <c r="K162" i="51"/>
  <c r="K161" i="51"/>
  <c r="K160" i="51"/>
  <c r="K159" i="51"/>
  <c r="K158" i="51"/>
  <c r="K157" i="51"/>
  <c r="K156" i="51"/>
  <c r="K155" i="51"/>
  <c r="K154" i="51"/>
  <c r="G130" i="51"/>
  <c r="K130" i="51" s="1"/>
  <c r="K129" i="51"/>
  <c r="K128" i="51"/>
  <c r="K127" i="51"/>
  <c r="K126" i="51"/>
  <c r="K123" i="51"/>
  <c r="K122" i="51"/>
  <c r="K121" i="51"/>
  <c r="K120" i="51"/>
  <c r="K119" i="51"/>
  <c r="K118" i="51"/>
  <c r="K117" i="51"/>
  <c r="K116" i="51"/>
  <c r="K115" i="51"/>
  <c r="K114" i="51"/>
  <c r="K113" i="51"/>
  <c r="K112" i="51"/>
  <c r="K111" i="51"/>
  <c r="K110" i="51"/>
  <c r="K109" i="51"/>
  <c r="K108" i="51"/>
  <c r="K107" i="51"/>
  <c r="K106" i="51"/>
  <c r="K105" i="51"/>
  <c r="K104" i="51"/>
  <c r="K87" i="51"/>
  <c r="K86" i="51"/>
  <c r="K85" i="51"/>
  <c r="K84" i="51"/>
  <c r="K81" i="51"/>
  <c r="K80" i="51"/>
  <c r="K79" i="51"/>
  <c r="K78" i="51"/>
  <c r="K77" i="51"/>
  <c r="K76" i="51"/>
  <c r="K75" i="51"/>
  <c r="K74" i="51"/>
  <c r="K73" i="51"/>
  <c r="K72" i="51"/>
  <c r="K71" i="51"/>
  <c r="K70" i="51"/>
  <c r="K69" i="51"/>
  <c r="K68" i="51"/>
  <c r="G88" i="51"/>
  <c r="K88" i="51" s="1"/>
  <c r="K50" i="51"/>
  <c r="K49" i="51"/>
  <c r="K48" i="51"/>
  <c r="K47" i="51"/>
  <c r="K46" i="51"/>
  <c r="K45" i="51"/>
  <c r="K44" i="51"/>
  <c r="K43" i="51"/>
  <c r="K42" i="51"/>
  <c r="K41" i="51"/>
  <c r="K40" i="51"/>
  <c r="K39" i="51"/>
  <c r="K51" i="51"/>
  <c r="K38" i="51"/>
  <c r="K37" i="51"/>
  <c r="K36" i="51"/>
  <c r="K52" i="51" s="1"/>
  <c r="F54" i="51" s="1"/>
  <c r="K54" i="51" s="1"/>
  <c r="K55" i="51" s="1"/>
  <c r="K35" i="51"/>
  <c r="K34" i="51"/>
  <c r="K67" i="51"/>
  <c r="K66" i="51"/>
  <c r="K65" i="51"/>
  <c r="K64" i="51"/>
  <c r="K63" i="51"/>
  <c r="K62" i="51"/>
  <c r="K57" i="51"/>
  <c r="C25" i="51"/>
  <c r="K25" i="51"/>
  <c r="K26" i="51"/>
  <c r="K23" i="51"/>
  <c r="K24" i="51"/>
  <c r="C23" i="51"/>
  <c r="K21" i="51"/>
  <c r="K22" i="51" s="1"/>
  <c r="C21" i="51"/>
  <c r="C19" i="51"/>
  <c r="K17" i="51"/>
  <c r="K18" i="51" s="1"/>
  <c r="C17" i="51"/>
  <c r="K313" i="51"/>
  <c r="K312" i="51"/>
  <c r="K311" i="51"/>
  <c r="K310" i="51"/>
  <c r="K309" i="51"/>
  <c r="K308" i="51"/>
  <c r="C315" i="51"/>
  <c r="K317" i="51"/>
  <c r="K318" i="51" s="1"/>
  <c r="K316" i="51"/>
  <c r="C305" i="51"/>
  <c r="K307" i="51"/>
  <c r="K306" i="51"/>
  <c r="K314" i="51" s="1"/>
  <c r="C302" i="51"/>
  <c r="K303" i="51"/>
  <c r="K304" i="51" s="1"/>
  <c r="K300" i="51"/>
  <c r="K299" i="51"/>
  <c r="K298" i="51"/>
  <c r="K297" i="51"/>
  <c r="K296" i="51"/>
  <c r="K295" i="51"/>
  <c r="K301" i="51" s="1"/>
  <c r="C293" i="51"/>
  <c r="K294" i="51"/>
  <c r="K288" i="51"/>
  <c r="K279" i="51"/>
  <c r="K280" i="51" s="1"/>
  <c r="C290" i="51"/>
  <c r="C286" i="51"/>
  <c r="C277" i="51"/>
  <c r="K291" i="51"/>
  <c r="K292" i="51" s="1"/>
  <c r="K287" i="51"/>
  <c r="K278" i="51"/>
  <c r="K211" i="51"/>
  <c r="K210" i="51"/>
  <c r="K209" i="51"/>
  <c r="C208" i="51"/>
  <c r="K275" i="51"/>
  <c r="K274" i="51"/>
  <c r="K268" i="51"/>
  <c r="C261" i="51"/>
  <c r="K264" i="51"/>
  <c r="K263" i="51"/>
  <c r="K262" i="51"/>
  <c r="C266" i="51"/>
  <c r="K273" i="51"/>
  <c r="K272" i="51"/>
  <c r="K271" i="51"/>
  <c r="K270" i="51"/>
  <c r="K269" i="51"/>
  <c r="K267" i="51"/>
  <c r="K259" i="51"/>
  <c r="K258" i="51"/>
  <c r="K257" i="51"/>
  <c r="C252" i="51"/>
  <c r="K256" i="51"/>
  <c r="K255" i="51"/>
  <c r="K254" i="51"/>
  <c r="K253" i="51"/>
  <c r="K260" i="51" s="1"/>
  <c r="C246" i="51"/>
  <c r="B245" i="51"/>
  <c r="K250" i="51"/>
  <c r="K249" i="51"/>
  <c r="K248" i="51"/>
  <c r="K247" i="51"/>
  <c r="C220" i="51"/>
  <c r="C217" i="51"/>
  <c r="C213" i="51"/>
  <c r="K230" i="51"/>
  <c r="K229" i="51"/>
  <c r="K228" i="51"/>
  <c r="K231" i="51" s="1"/>
  <c r="K227" i="51"/>
  <c r="K226" i="51"/>
  <c r="K225" i="51"/>
  <c r="K185" i="51"/>
  <c r="K184" i="51"/>
  <c r="K183" i="51"/>
  <c r="K182" i="51"/>
  <c r="K181" i="51"/>
  <c r="K180" i="51"/>
  <c r="K179" i="51"/>
  <c r="K178" i="51"/>
  <c r="K177" i="51"/>
  <c r="B171" i="51"/>
  <c r="K151" i="51"/>
  <c r="C149" i="51"/>
  <c r="K150" i="51"/>
  <c r="K152" i="51" s="1"/>
  <c r="K147" i="51"/>
  <c r="C145" i="51"/>
  <c r="K146" i="51"/>
  <c r="K148" i="51" s="1"/>
  <c r="C142" i="51"/>
  <c r="K143" i="51"/>
  <c r="K144" i="51"/>
  <c r="C139" i="51"/>
  <c r="C136" i="51"/>
  <c r="K140" i="51"/>
  <c r="K141" i="51"/>
  <c r="C132" i="51"/>
  <c r="I134" i="51"/>
  <c r="K134" i="51" s="1"/>
  <c r="G101" i="51"/>
  <c r="K101" i="51" s="1"/>
  <c r="G100" i="51"/>
  <c r="K100" i="51" s="1"/>
  <c r="K102" i="51" s="1"/>
  <c r="G97" i="51"/>
  <c r="K97" i="51" s="1"/>
  <c r="K98" i="51" s="1"/>
  <c r="C99" i="51"/>
  <c r="C97" i="51"/>
  <c r="K95" i="51"/>
  <c r="K94" i="51"/>
  <c r="C93" i="51"/>
  <c r="K91" i="51"/>
  <c r="K92" i="51"/>
  <c r="C91" i="51"/>
  <c r="K4" i="46"/>
  <c r="K72" i="46" s="1"/>
  <c r="AB19" i="46"/>
  <c r="AB20" i="46"/>
  <c r="AB21" i="46"/>
  <c r="AG42" i="46" s="1"/>
  <c r="AG25" i="46"/>
  <c r="AB60" i="46"/>
  <c r="AB50" i="46" s="1"/>
  <c r="AB61" i="46"/>
  <c r="AB51" i="46" s="1"/>
  <c r="AB63" i="46"/>
  <c r="AB62" i="46" s="1"/>
  <c r="AB64" i="46"/>
  <c r="AB42" i="46" s="1"/>
  <c r="AB87" i="46"/>
  <c r="AB88" i="46"/>
  <c r="AB115" i="46" s="1"/>
  <c r="AB89" i="46"/>
  <c r="AG93" i="46"/>
  <c r="AG94" i="46" s="1"/>
  <c r="AB128" i="46"/>
  <c r="AB118" i="46" s="1"/>
  <c r="AB129" i="46"/>
  <c r="AB119" i="46" s="1"/>
  <c r="AB131" i="46"/>
  <c r="AB108" i="46" s="1"/>
  <c r="AB132" i="46"/>
  <c r="AB110" i="46" s="1"/>
  <c r="AG155" i="46"/>
  <c r="AB156" i="46"/>
  <c r="AB157" i="46"/>
  <c r="AB184" i="46" s="1"/>
  <c r="AB158" i="46"/>
  <c r="AB161" i="46" s="1"/>
  <c r="AG162" i="46"/>
  <c r="AG164" i="46" s="1"/>
  <c r="AB197" i="46"/>
  <c r="AB187" i="46" s="1"/>
  <c r="AB198" i="46"/>
  <c r="AB188" i="46" s="1"/>
  <c r="AB200" i="46"/>
  <c r="AB199" i="46" s="1"/>
  <c r="AB201" i="46"/>
  <c r="AB179" i="46" s="1"/>
  <c r="AB226" i="46"/>
  <c r="AG234" i="46" s="1"/>
  <c r="AB227" i="46"/>
  <c r="AB240" i="46" s="1"/>
  <c r="AB228" i="46"/>
  <c r="AG232" i="46"/>
  <c r="AB267" i="46"/>
  <c r="AB257" i="46" s="1"/>
  <c r="AB268" i="46"/>
  <c r="AB258" i="46" s="1"/>
  <c r="AB270" i="46"/>
  <c r="AB247" i="46"/>
  <c r="AB271" i="46"/>
  <c r="AB249" i="46" s="1"/>
  <c r="AB295" i="46"/>
  <c r="AG303" i="46" s="1"/>
  <c r="AB296" i="46"/>
  <c r="AB297" i="46"/>
  <c r="AB300" i="46" s="1"/>
  <c r="AG301" i="46"/>
  <c r="AB336" i="46"/>
  <c r="AB326" i="46" s="1"/>
  <c r="AB337" i="46"/>
  <c r="AB327" i="46" s="1"/>
  <c r="AB339" i="46"/>
  <c r="AB338" i="46" s="1"/>
  <c r="AB340" i="46"/>
  <c r="AB318" i="46" s="1"/>
  <c r="AB362" i="46"/>
  <c r="AB363" i="46"/>
  <c r="AB364" i="46"/>
  <c r="AG368" i="46"/>
  <c r="AG370" i="46" s="1"/>
  <c r="AB403" i="46"/>
  <c r="AB393" i="46" s="1"/>
  <c r="AB404" i="46"/>
  <c r="AB394" i="46" s="1"/>
  <c r="AB406" i="46"/>
  <c r="AB407" i="46"/>
  <c r="AB385" i="46" s="1"/>
  <c r="AB429" i="46"/>
  <c r="AB430" i="46"/>
  <c r="AB457" i="46" s="1"/>
  <c r="AB431" i="46"/>
  <c r="AB443" i="46" s="1"/>
  <c r="AB434" i="46"/>
  <c r="AG435" i="46"/>
  <c r="AB470" i="46"/>
  <c r="AB460" i="46" s="1"/>
  <c r="AB471" i="46"/>
  <c r="AB461" i="46" s="1"/>
  <c r="AB473" i="46"/>
  <c r="AB472" i="46" s="1"/>
  <c r="AB474" i="46"/>
  <c r="AB452" i="46" s="1"/>
  <c r="B2" i="51"/>
  <c r="B3" i="51"/>
  <c r="B4" i="51"/>
  <c r="E4" i="51"/>
  <c r="B5" i="51"/>
  <c r="E5" i="51"/>
  <c r="B6" i="51"/>
  <c r="E6" i="51"/>
  <c r="B7" i="51"/>
  <c r="E7" i="51"/>
  <c r="B8" i="51"/>
  <c r="E8" i="51"/>
  <c r="B9" i="51"/>
  <c r="E9" i="51"/>
  <c r="B21" i="51"/>
  <c r="B23" i="51" s="1"/>
  <c r="B25" i="51" s="1"/>
  <c r="C15" i="51"/>
  <c r="K15" i="51"/>
  <c r="K19" i="51"/>
  <c r="K20" i="51" s="1"/>
  <c r="G19" i="49" s="1"/>
  <c r="J19" i="49" s="1"/>
  <c r="C27" i="51"/>
  <c r="K27" i="51"/>
  <c r="K28" i="51" s="1"/>
  <c r="B29" i="51"/>
  <c r="C30" i="51"/>
  <c r="K31" i="51"/>
  <c r="K32" i="51"/>
  <c r="K33" i="51"/>
  <c r="C53" i="51"/>
  <c r="G54" i="51"/>
  <c r="C56" i="51"/>
  <c r="K58" i="51"/>
  <c r="K59" i="51"/>
  <c r="C61" i="51"/>
  <c r="B90" i="51"/>
  <c r="C103" i="51"/>
  <c r="C153" i="51"/>
  <c r="C173" i="51"/>
  <c r="K174" i="51"/>
  <c r="K175" i="51"/>
  <c r="K176" i="51"/>
  <c r="C187" i="51"/>
  <c r="K188" i="51"/>
  <c r="K189" i="51" s="1"/>
  <c r="C190" i="51"/>
  <c r="K191" i="51"/>
  <c r="K193" i="51" s="1"/>
  <c r="K192" i="51"/>
  <c r="C194" i="51"/>
  <c r="K195" i="51"/>
  <c r="K196" i="51" s="1"/>
  <c r="C197" i="51"/>
  <c r="K198" i="51"/>
  <c r="K199" i="51" s="1"/>
  <c r="C200" i="51"/>
  <c r="K201" i="51"/>
  <c r="K202" i="51"/>
  <c r="K203" i="51" s="1"/>
  <c r="C204" i="51"/>
  <c r="K205" i="51"/>
  <c r="K206" i="51"/>
  <c r="C223" i="51"/>
  <c r="K224" i="51"/>
  <c r="C232" i="51"/>
  <c r="K233" i="51"/>
  <c r="K234" i="51"/>
  <c r="B337" i="51"/>
  <c r="C339" i="51"/>
  <c r="K340" i="51"/>
  <c r="K341" i="51"/>
  <c r="K342" i="51"/>
  <c r="K345" i="51"/>
  <c r="K346" i="51"/>
  <c r="K347" i="51"/>
  <c r="K348" i="51"/>
  <c r="K349" i="51"/>
  <c r="K350" i="51"/>
  <c r="K351" i="51"/>
  <c r="K352" i="51"/>
  <c r="K355" i="51"/>
  <c r="K359" i="51"/>
  <c r="C382" i="51"/>
  <c r="C406" i="51"/>
  <c r="K519" i="51"/>
  <c r="K520" i="51" s="1"/>
  <c r="B531" i="51"/>
  <c r="C533" i="51"/>
  <c r="K534" i="51"/>
  <c r="K535" i="51" s="1"/>
  <c r="B601" i="51"/>
  <c r="C603" i="51"/>
  <c r="C607" i="51"/>
  <c r="B680" i="51"/>
  <c r="C682" i="51"/>
  <c r="C685" i="51"/>
  <c r="C688" i="51"/>
  <c r="K698" i="51"/>
  <c r="K699" i="51" s="1"/>
  <c r="K701" i="51"/>
  <c r="K702" i="51" s="1"/>
  <c r="K704" i="51"/>
  <c r="K705" i="51" s="1"/>
  <c r="K710" i="51"/>
  <c r="K711" i="51" s="1"/>
  <c r="B746" i="51"/>
  <c r="B772" i="51"/>
  <c r="E2" i="51"/>
  <c r="C6" i="49"/>
  <c r="E3" i="51"/>
  <c r="C7" i="49"/>
  <c r="C8" i="49"/>
  <c r="B34" i="49"/>
  <c r="B35" i="49" s="1"/>
  <c r="B36" i="49" s="1"/>
  <c r="C151" i="49"/>
  <c r="B218" i="49"/>
  <c r="B219" i="49" s="1"/>
  <c r="B220" i="49" s="1"/>
  <c r="C246" i="49"/>
  <c r="B15" i="48"/>
  <c r="B16" i="48"/>
  <c r="B17" i="48"/>
  <c r="B19" i="48"/>
  <c r="I133" i="51"/>
  <c r="K133" i="51" s="1"/>
  <c r="K135" i="51" s="1"/>
  <c r="I137" i="51"/>
  <c r="K137" i="51" s="1"/>
  <c r="K138" i="51" s="1"/>
  <c r="K376" i="51"/>
  <c r="J248" i="49"/>
  <c r="K653" i="51"/>
  <c r="K289" i="51"/>
  <c r="K617" i="51"/>
  <c r="K553" i="51"/>
  <c r="K579" i="51"/>
  <c r="K492" i="51"/>
  <c r="K770" i="51"/>
  <c r="K583" i="51"/>
  <c r="B222" i="49"/>
  <c r="B223" i="49" s="1"/>
  <c r="B224" i="49" s="1"/>
  <c r="B225" i="49" s="1"/>
  <c r="B226" i="49" s="1"/>
  <c r="B227" i="49" s="1"/>
  <c r="B228" i="49" s="1"/>
  <c r="AB101" i="46"/>
  <c r="AG233" i="46"/>
  <c r="AG437" i="46"/>
  <c r="AG436" i="46"/>
  <c r="AG163" i="46"/>
  <c r="AB163" i="46" s="1"/>
  <c r="AB269" i="46"/>
  <c r="AB390" i="46"/>
  <c r="AB387" i="46"/>
  <c r="AB231" i="46"/>
  <c r="AB251" i="46"/>
  <c r="AB320" i="46"/>
  <c r="AB323" i="46"/>
  <c r="AB454" i="46"/>
  <c r="M206" i="49"/>
  <c r="AB177" i="46"/>
  <c r="J25" i="49"/>
  <c r="AB181" i="46"/>
  <c r="K849" i="51"/>
  <c r="G319" i="49"/>
  <c r="G163" i="49"/>
  <c r="L83" i="49"/>
  <c r="L152" i="49" l="1"/>
  <c r="J206" i="49"/>
  <c r="AB316" i="46"/>
  <c r="J294" i="49"/>
  <c r="L145" i="49"/>
  <c r="L243" i="49"/>
  <c r="AB170" i="46"/>
  <c r="K211" i="46"/>
  <c r="K280" i="46" s="1"/>
  <c r="K414" i="46" s="1"/>
  <c r="AG95" i="46"/>
  <c r="AB94" i="46" s="1"/>
  <c r="AB98" i="46" s="1"/>
  <c r="AB104" i="46" s="1"/>
  <c r="AB254" i="46"/>
  <c r="K60" i="51"/>
  <c r="K251" i="51"/>
  <c r="K276" i="51"/>
  <c r="K265" i="51"/>
  <c r="K212" i="51"/>
  <c r="K606" i="51"/>
  <c r="K764" i="51"/>
  <c r="K141" i="46"/>
  <c r="AG302" i="46"/>
  <c r="AG369" i="46"/>
  <c r="AB369" i="46" s="1"/>
  <c r="K381" i="51"/>
  <c r="K207" i="51"/>
  <c r="K96" i="51"/>
  <c r="K244" i="51"/>
  <c r="K240" i="51"/>
  <c r="AB167" i="46"/>
  <c r="AB173" i="46" s="1"/>
  <c r="G26" i="49"/>
  <c r="J26" i="49" s="1"/>
  <c r="AB436" i="46"/>
  <c r="AB309" i="46"/>
  <c r="K170" i="51"/>
  <c r="K567" i="51"/>
  <c r="K470" i="51"/>
  <c r="K471" i="51" s="1"/>
  <c r="K539" i="51"/>
  <c r="K549" i="51"/>
  <c r="G290" i="49"/>
  <c r="G289" i="49"/>
  <c r="J320" i="49"/>
  <c r="J190" i="49"/>
  <c r="J189" i="49"/>
  <c r="AB40" i="46"/>
  <c r="AB450" i="46"/>
  <c r="AB463" i="46" s="1"/>
  <c r="AB465" i="46" s="1"/>
  <c r="G12" i="47" s="1"/>
  <c r="J191" i="49"/>
  <c r="J328" i="49"/>
  <c r="G36" i="49"/>
  <c r="G66" i="49"/>
  <c r="J66" i="49" s="1"/>
  <c r="J329" i="49"/>
  <c r="AB130" i="46"/>
  <c r="AB233" i="46"/>
  <c r="AB237" i="46" s="1"/>
  <c r="AB243" i="46" s="1"/>
  <c r="AB262" i="46" s="1"/>
  <c r="G15" i="47" s="1"/>
  <c r="AB44" i="46"/>
  <c r="AB47" i="46"/>
  <c r="K16" i="51"/>
  <c r="G14" i="49"/>
  <c r="J14" i="49" s="1"/>
  <c r="AB260" i="46"/>
  <c r="AB92" i="46"/>
  <c r="AB112" i="46"/>
  <c r="AB405" i="46"/>
  <c r="AB383" i="46"/>
  <c r="AB396" i="46" s="1"/>
  <c r="AB367" i="46"/>
  <c r="AB376" i="46"/>
  <c r="AG26" i="46"/>
  <c r="AG27" i="46"/>
  <c r="K89" i="51"/>
  <c r="K131" i="51"/>
  <c r="K560" i="51"/>
  <c r="K493" i="51"/>
  <c r="AB440" i="46"/>
  <c r="AB446" i="46" s="1"/>
  <c r="AB121" i="46"/>
  <c r="K362" i="51"/>
  <c r="L362" i="51" s="1"/>
  <c r="K590" i="51"/>
  <c r="AB329" i="46"/>
  <c r="AB33" i="46"/>
  <c r="K216" i="51"/>
  <c r="K527" i="51"/>
  <c r="AB302" i="46"/>
  <c r="K186" i="51"/>
  <c r="AB190" i="46"/>
  <c r="AB192" i="46" s="1"/>
  <c r="G11" i="47" s="1"/>
  <c r="AB24" i="46"/>
  <c r="K405" i="51"/>
  <c r="K544" i="51"/>
  <c r="K753" i="51"/>
  <c r="K758" i="51"/>
  <c r="K445" i="51"/>
  <c r="K600" i="51"/>
  <c r="K669" i="51"/>
  <c r="K640" i="51"/>
  <c r="K828" i="51"/>
  <c r="AB306" i="46"/>
  <c r="AB312" i="46" s="1"/>
  <c r="K517" i="51"/>
  <c r="G27" i="49"/>
  <c r="J27" i="49" s="1"/>
  <c r="K852" i="51"/>
  <c r="AB373" i="46"/>
  <c r="AB379" i="46" s="1"/>
  <c r="J127" i="49"/>
  <c r="J129" i="49" s="1"/>
  <c r="K433" i="51"/>
  <c r="K800" i="51"/>
  <c r="G23" i="49"/>
  <c r="K347" i="46"/>
  <c r="J217" i="49"/>
  <c r="M95" i="49"/>
  <c r="G94" i="49" s="1"/>
  <c r="G95" i="49" s="1"/>
  <c r="G96" i="49" s="1"/>
  <c r="N109" i="49"/>
  <c r="G101" i="49" s="1"/>
  <c r="G102" i="49" s="1"/>
  <c r="G17" i="49"/>
  <c r="J275" i="49"/>
  <c r="M38" i="49"/>
  <c r="G314" i="49"/>
  <c r="G151" i="49"/>
  <c r="B84" i="49"/>
  <c r="B87" i="49"/>
  <c r="B88" i="49" s="1"/>
  <c r="B89" i="49" s="1"/>
  <c r="J290" i="49"/>
  <c r="J289" i="49"/>
  <c r="J158" i="49"/>
  <c r="L294" i="49"/>
  <c r="L295" i="49" s="1"/>
  <c r="AB26" i="46" l="1"/>
  <c r="AB123" i="46"/>
  <c r="G17" i="47" s="1"/>
  <c r="J115" i="49"/>
  <c r="J333" i="49"/>
  <c r="H26" i="48" s="1"/>
  <c r="AB53" i="46"/>
  <c r="AB398" i="46"/>
  <c r="G14" i="47" s="1"/>
  <c r="J192" i="49"/>
  <c r="J16" i="97"/>
  <c r="AB331" i="46"/>
  <c r="G16" i="47" s="1"/>
  <c r="AB30" i="46"/>
  <c r="AB36" i="46" s="1"/>
  <c r="J109" i="49"/>
  <c r="L405" i="51"/>
  <c r="H17" i="97"/>
  <c r="J17" i="97"/>
  <c r="J207" i="49"/>
  <c r="J182" i="49"/>
  <c r="J36" i="49"/>
  <c r="J33" i="49"/>
  <c r="J23" i="49"/>
  <c r="J17" i="49"/>
  <c r="J34" i="49"/>
  <c r="J16" i="49"/>
  <c r="J232" i="49"/>
  <c r="J35" i="49"/>
  <c r="M302" i="49"/>
  <c r="G312" i="49"/>
  <c r="B86" i="49"/>
  <c r="B85" i="49"/>
  <c r="G103" i="49"/>
  <c r="G317" i="49"/>
  <c r="J309" i="49"/>
  <c r="J123" i="49" l="1"/>
  <c r="AB55" i="46"/>
  <c r="G13" i="47" s="1"/>
  <c r="J193" i="49"/>
  <c r="J194" i="49"/>
  <c r="J16" i="55"/>
  <c r="H16" i="97"/>
  <c r="J151" i="49"/>
  <c r="J163" i="49"/>
  <c r="J38" i="49"/>
  <c r="H16" i="48" s="1"/>
  <c r="J101" i="49"/>
  <c r="J94" i="49"/>
  <c r="J235" i="49"/>
  <c r="J219" i="49"/>
  <c r="J40" i="49"/>
  <c r="J156" i="49"/>
  <c r="J168" i="49"/>
  <c r="J121" i="49"/>
  <c r="J113" i="49"/>
  <c r="J102" i="49"/>
  <c r="J95" i="49"/>
  <c r="J238" i="49"/>
  <c r="J222" i="49"/>
  <c r="J223" i="49"/>
  <c r="J239" i="49"/>
  <c r="J120" i="49"/>
  <c r="J111" i="49"/>
  <c r="J317" i="49"/>
  <c r="J112" i="49"/>
  <c r="J119" i="49"/>
  <c r="J110" i="49"/>
  <c r="J318" i="49"/>
  <c r="J313" i="49"/>
  <c r="J218" i="49"/>
  <c r="J234" i="49"/>
  <c r="J237" i="49"/>
  <c r="J221" i="49"/>
  <c r="J153" i="49"/>
  <c r="J155" i="49"/>
  <c r="J150" i="49"/>
  <c r="J154" i="49"/>
  <c r="J312" i="49"/>
  <c r="J122" i="49"/>
  <c r="J114" i="49"/>
  <c r="J240" i="49"/>
  <c r="J225" i="49"/>
  <c r="J226" i="49"/>
  <c r="J241" i="49"/>
  <c r="J96" i="49"/>
  <c r="J103" i="49"/>
  <c r="J59" i="49"/>
  <c r="J87" i="49"/>
  <c r="J236" i="49"/>
  <c r="J220" i="49"/>
  <c r="J24" i="49"/>
  <c r="J18" i="49"/>
  <c r="J15" i="49"/>
  <c r="M306" i="49"/>
  <c r="H24" i="48"/>
  <c r="J230" i="49" l="1"/>
  <c r="H16" i="55"/>
  <c r="J99" i="49"/>
  <c r="L91" i="49" s="1"/>
  <c r="J106" i="49"/>
  <c r="J166" i="49"/>
  <c r="J31" i="49"/>
  <c r="H15" i="48" s="1"/>
  <c r="J125" i="49"/>
  <c r="J117" i="49"/>
  <c r="L18" i="49"/>
  <c r="J46" i="49"/>
  <c r="J162" i="49"/>
  <c r="J165" i="49"/>
  <c r="J319" i="49"/>
  <c r="J314" i="49"/>
  <c r="J169" i="49"/>
  <c r="J157" i="49"/>
  <c r="J160" i="49" s="1"/>
  <c r="J200" i="49"/>
  <c r="J209" i="49" s="1"/>
  <c r="J175" i="49"/>
  <c r="J198" i="49" s="1"/>
  <c r="J89" i="49"/>
  <c r="J243" i="49"/>
  <c r="L289" i="49" s="1"/>
  <c r="L99" i="49" l="1"/>
  <c r="L110" i="49" s="1"/>
  <c r="H20" i="48"/>
  <c r="H19" i="48"/>
  <c r="L32" i="49"/>
  <c r="L39" i="49" s="1"/>
  <c r="H23" i="48"/>
  <c r="J42" i="49"/>
  <c r="J41" i="49"/>
  <c r="J43" i="49"/>
  <c r="J44" i="49"/>
  <c r="J84" i="49"/>
  <c r="J60" i="49"/>
  <c r="J167" i="49"/>
  <c r="J172" i="49" s="1"/>
  <c r="L154" i="49"/>
  <c r="J64" i="49"/>
  <c r="J55" i="49"/>
  <c r="J61" i="49"/>
  <c r="J85" i="49"/>
  <c r="J56" i="49"/>
  <c r="M193" i="49"/>
  <c r="H22" i="48"/>
  <c r="J63" i="49"/>
  <c r="J322" i="49"/>
  <c r="H25" i="48" s="1"/>
  <c r="L118" i="49" l="1"/>
  <c r="L122" i="49" s="1"/>
  <c r="L302" i="49"/>
  <c r="H21" i="48"/>
  <c r="L159" i="49"/>
  <c r="L201" i="49" s="1"/>
  <c r="J83" i="49"/>
  <c r="J45" i="49"/>
  <c r="J54" i="49"/>
  <c r="J57" i="49"/>
  <c r="J51" i="49"/>
  <c r="J81" i="49"/>
  <c r="J52" i="49"/>
  <c r="J58" i="49"/>
  <c r="J86" i="49"/>
  <c r="J82" i="49"/>
  <c r="J53" i="49"/>
  <c r="J88" i="49"/>
  <c r="J62" i="49"/>
  <c r="L77" i="49" l="1"/>
  <c r="J91" i="49"/>
  <c r="M81" i="49"/>
  <c r="L78" i="49"/>
  <c r="J48" i="49"/>
  <c r="J68" i="49"/>
  <c r="M65" i="49"/>
  <c r="H18" i="48" l="1"/>
  <c r="J15" i="55"/>
  <c r="L79" i="49"/>
  <c r="H17" i="48"/>
  <c r="L49" i="49"/>
  <c r="L69" i="49" s="1"/>
  <c r="H28" i="48" l="1"/>
  <c r="J14" i="97" s="1"/>
  <c r="J15" i="97"/>
  <c r="J14" i="55" l="1"/>
  <c r="J18" i="55" s="1"/>
  <c r="H29" i="48"/>
  <c r="H30" i="48" s="1"/>
  <c r="H31" i="48" s="1"/>
  <c r="J19" i="97"/>
  <c r="H15" i="97"/>
  <c r="H15" i="55"/>
  <c r="H14" i="55" l="1"/>
  <c r="H18" i="55" s="1"/>
  <c r="H14" i="97"/>
  <c r="H19" i="97" s="1"/>
</calcChain>
</file>

<file path=xl/sharedStrings.xml><?xml version="1.0" encoding="utf-8"?>
<sst xmlns="http://schemas.openxmlformats.org/spreadsheetml/2006/main" count="2718" uniqueCount="447">
  <si>
    <t>:</t>
  </si>
  <si>
    <t>PEKERJAAN</t>
  </si>
  <si>
    <t>LOKASI</t>
  </si>
  <si>
    <t>TAHUN ANGGARAN</t>
  </si>
  <si>
    <t>B.</t>
  </si>
  <si>
    <t>NO.</t>
  </si>
  <si>
    <t>URAIAN PEKERJAAN</t>
  </si>
  <si>
    <t>JML HARGA</t>
  </si>
  <si>
    <t>( Rp.)</t>
  </si>
  <si>
    <t>A.</t>
  </si>
  <si>
    <t>C.</t>
  </si>
  <si>
    <t>D.</t>
  </si>
  <si>
    <t>E</t>
  </si>
  <si>
    <t>F</t>
  </si>
  <si>
    <t>G</t>
  </si>
  <si>
    <t>H</t>
  </si>
  <si>
    <t>E.</t>
  </si>
  <si>
    <t>ENGINEER ESTIMATE</t>
  </si>
  <si>
    <t>Bh</t>
  </si>
  <si>
    <t>M1</t>
  </si>
  <si>
    <t>H. SATUAN</t>
  </si>
  <si>
    <t>3</t>
  </si>
  <si>
    <t>4</t>
  </si>
  <si>
    <t>5</t>
  </si>
  <si>
    <t>A</t>
  </si>
  <si>
    <t>PEKERJAAN PENDAHULUAN</t>
  </si>
  <si>
    <t>M2</t>
  </si>
  <si>
    <t>PEKERJAAN TANAH DAN URUGAN</t>
  </si>
  <si>
    <t>M3</t>
  </si>
  <si>
    <t>Unit</t>
  </si>
  <si>
    <t>Ls</t>
  </si>
  <si>
    <t>-</t>
  </si>
  <si>
    <t>bh</t>
  </si>
  <si>
    <t>B</t>
  </si>
  <si>
    <t>C</t>
  </si>
  <si>
    <t>D</t>
  </si>
  <si>
    <t>Satuan</t>
  </si>
  <si>
    <t>Harga Satuan</t>
  </si>
  <si>
    <t>a.</t>
  </si>
  <si>
    <t>b.</t>
  </si>
  <si>
    <t>Liter</t>
  </si>
  <si>
    <t>Pek. Urugan Tanah Kembali</t>
  </si>
  <si>
    <t>I</t>
  </si>
  <si>
    <t>M</t>
  </si>
  <si>
    <t>PEKERJAAN PASANGAN DAN PLASTERAN</t>
  </si>
  <si>
    <t>PPn  10 %</t>
  </si>
  <si>
    <t>TOTAL FISIK + PAJAK</t>
  </si>
  <si>
    <t>PEMBULATAN</t>
  </si>
  <si>
    <t>TERBILANG</t>
  </si>
  <si>
    <t>PEKERJAAN PENGECATAN DAN FINISHING</t>
  </si>
  <si>
    <t>PEKERJAAN PLAFOND</t>
  </si>
  <si>
    <t>Pek. Papan Nama Proyek</t>
  </si>
  <si>
    <t>BH</t>
  </si>
  <si>
    <t>Minyak Pelumas</t>
  </si>
  <si>
    <t>Jam</t>
  </si>
  <si>
    <t>L</t>
  </si>
  <si>
    <t xml:space="preserve">JUMLAH TOTAL  FISIK </t>
  </si>
  <si>
    <t>Tenaga</t>
  </si>
  <si>
    <t>c.</t>
  </si>
  <si>
    <t>II</t>
  </si>
  <si>
    <t>III</t>
  </si>
  <si>
    <t>IV</t>
  </si>
  <si>
    <t>VI</t>
  </si>
  <si>
    <t>Crane</t>
  </si>
  <si>
    <t>unit/jam</t>
  </si>
  <si>
    <t>ANALISA ALAT</t>
  </si>
  <si>
    <t>UARAIAN</t>
  </si>
  <si>
    <t>KODE</t>
  </si>
  <si>
    <t>KOEF.</t>
  </si>
  <si>
    <t>SATUAN</t>
  </si>
  <si>
    <t>KET.</t>
  </si>
  <si>
    <t>UARAIAN PERALATAN</t>
  </si>
  <si>
    <t>1.</t>
  </si>
  <si>
    <t>Jenis Peralatan</t>
  </si>
  <si>
    <t xml:space="preserve">CRANE </t>
  </si>
  <si>
    <t>2.</t>
  </si>
  <si>
    <t>Pw</t>
  </si>
  <si>
    <t>HP</t>
  </si>
  <si>
    <t>3.</t>
  </si>
  <si>
    <t>Kapasitas</t>
  </si>
  <si>
    <t>Cp</t>
  </si>
  <si>
    <t>TON</t>
  </si>
  <si>
    <t>4.</t>
  </si>
  <si>
    <t xml:space="preserve">Alat Baru </t>
  </si>
  <si>
    <t>Umur Ekonomis Alat</t>
  </si>
  <si>
    <t>Tahun</t>
  </si>
  <si>
    <t>Jam Kerja Dalam 1 Tahun</t>
  </si>
  <si>
    <t>W</t>
  </si>
  <si>
    <t>Harga Alat</t>
  </si>
  <si>
    <t>Rupiah</t>
  </si>
  <si>
    <t>5.</t>
  </si>
  <si>
    <t>Alat Yang Dipakai</t>
  </si>
  <si>
    <t>A'</t>
  </si>
  <si>
    <t>W'</t>
  </si>
  <si>
    <r>
      <t xml:space="preserve">Harga Alat ( </t>
    </r>
    <r>
      <rPr>
        <vertAlign val="superscript"/>
        <sz val="10"/>
        <rFont val="Tahoma"/>
        <family val="2"/>
      </rPr>
      <t xml:space="preserve">* </t>
    </r>
    <r>
      <rPr>
        <sz val="10"/>
        <rFont val="Tahoma"/>
        <family val="2"/>
      </rPr>
      <t>)</t>
    </r>
  </si>
  <si>
    <t>B'</t>
  </si>
  <si>
    <t>BIAYA PASTI PER JAM KERJA</t>
  </si>
  <si>
    <t>Nilai Sisa Alat</t>
  </si>
  <si>
    <t xml:space="preserve"> =  10% x B</t>
  </si>
  <si>
    <t>Faktor Angsuran Modal</t>
  </si>
  <si>
    <t xml:space="preserve"> =</t>
  </si>
  <si>
    <r>
      <t xml:space="preserve">  i x (1 + i)</t>
    </r>
    <r>
      <rPr>
        <vertAlign val="superscript"/>
        <sz val="10"/>
        <rFont val="Tahoma"/>
        <family val="2"/>
      </rPr>
      <t>A</t>
    </r>
  </si>
  <si>
    <r>
      <t>(1 + i)</t>
    </r>
    <r>
      <rPr>
        <vertAlign val="superscript"/>
        <sz val="10"/>
        <rFont val="Tahoma"/>
        <family val="2"/>
      </rPr>
      <t>A</t>
    </r>
    <r>
      <rPr>
        <sz val="10"/>
        <rFont val="Tahoma"/>
        <family val="2"/>
      </rPr>
      <t xml:space="preserve"> - 1</t>
    </r>
  </si>
  <si>
    <t>Biaya Pasti per Jam :</t>
  </si>
  <si>
    <t>Biaya Pengembalian Modal</t>
  </si>
  <si>
    <t>(B' - C) x D</t>
  </si>
  <si>
    <t>Asuransi, dll</t>
  </si>
  <si>
    <t>0.002 x B'</t>
  </si>
  <si>
    <t>Biaya Pasti per Jam</t>
  </si>
  <si>
    <t>( E + F )</t>
  </si>
  <si>
    <t>BIAYA OPERASI PER JAM KERJA</t>
  </si>
  <si>
    <t>Bahan bakar = (0.12 Ltr/HP/Jam) x Pw x Ms</t>
  </si>
  <si>
    <t>Pelumas = (0.01 - 0.02 Ltr/HP/Jam) x Pw x Mp</t>
  </si>
  <si>
    <t>Perawatan &amp; Perbaikan  =</t>
  </si>
  <si>
    <t>(12.5% ) x B'</t>
  </si>
  <si>
    <t>K</t>
  </si>
  <si>
    <t>Workshop  =</t>
  </si>
  <si>
    <t>(0.87% ) x B'</t>
  </si>
  <si>
    <t>6.</t>
  </si>
  <si>
    <t>Operator   = (1 Orang / Jam) x U1</t>
  </si>
  <si>
    <t>7.</t>
  </si>
  <si>
    <t>Pembantu Operator  = (1 Orang / Jam) x U2</t>
  </si>
  <si>
    <t>N</t>
  </si>
  <si>
    <t>Biaya Operasi per Jam  =  (H + I + K + L + M + N)</t>
  </si>
  <si>
    <t>P</t>
  </si>
  <si>
    <t>TOTAL BIAYA SEWA ALAT / JAM  =  ( G + P )</t>
  </si>
  <si>
    <t>T</t>
  </si>
  <si>
    <t>LAIN-LAIN</t>
  </si>
  <si>
    <t>Tingkat Suku Bunga</t>
  </si>
  <si>
    <t>i</t>
  </si>
  <si>
    <t xml:space="preserve"> % / Tahun</t>
  </si>
  <si>
    <t>Upah Operator / Sopir</t>
  </si>
  <si>
    <t>U1</t>
  </si>
  <si>
    <t>Rp / Jam</t>
  </si>
  <si>
    <t>Upah Pembantu Operator / Pembantu Sopir</t>
  </si>
  <si>
    <t>U2</t>
  </si>
  <si>
    <t>Bahan Bakar Bensin</t>
  </si>
  <si>
    <t>Mb</t>
  </si>
  <si>
    <t>Bahan Bakar Solar</t>
  </si>
  <si>
    <t>Ms</t>
  </si>
  <si>
    <t>Mp</t>
  </si>
  <si>
    <t>PPN diperhitungkan pada lembar Rekapitulasi</t>
  </si>
  <si>
    <t>Biaya Pekerjaan</t>
  </si>
  <si>
    <t>CONCRETE MIXER</t>
  </si>
  <si>
    <t>CONCRETE VIBRATOR</t>
  </si>
  <si>
    <t>TUG BOAT</t>
  </si>
  <si>
    <t>STEMPER</t>
  </si>
  <si>
    <t>PILE DRIVE HAMMER</t>
  </si>
  <si>
    <t>welding SET</t>
  </si>
  <si>
    <t>DAFTAR HARGA SATUAN ALAT</t>
  </si>
  <si>
    <t>No.</t>
  </si>
  <si>
    <t>Uraian Alat</t>
  </si>
  <si>
    <t>Kuantitas</t>
  </si>
  <si>
    <t>Concrete vibrator</t>
  </si>
  <si>
    <t>Welding set</t>
  </si>
  <si>
    <t>Pile driver + hammer</t>
  </si>
  <si>
    <t>Stamper</t>
  </si>
  <si>
    <t>Concrete mixer</t>
  </si>
  <si>
    <r>
      <t xml:space="preserve">Tug boat </t>
    </r>
    <r>
      <rPr>
        <sz val="11"/>
        <rFont val="Arial"/>
        <family val="2"/>
      </rPr>
      <t xml:space="preserve">&amp; </t>
    </r>
    <r>
      <rPr>
        <i/>
        <sz val="11"/>
        <rFont val="Arial"/>
        <family val="2"/>
      </rPr>
      <t>Ponton</t>
    </r>
  </si>
  <si>
    <t>Ttk</t>
  </si>
  <si>
    <t>VOLUME</t>
  </si>
  <si>
    <t>( Rp. )</t>
  </si>
  <si>
    <t>Pek. Galian Tanah Pondasi</t>
  </si>
  <si>
    <t>Pek. Timbunan Tanah Dipadatkan</t>
  </si>
  <si>
    <t>Pek. Urugan Pasir Bawah Pondasi dan Lantai t. 5 cm</t>
  </si>
  <si>
    <t>&gt;&gt;  JUMLAH</t>
  </si>
  <si>
    <t>Pek. Pas. Pondasi Bata ad. 1 : 3</t>
  </si>
  <si>
    <t>Pek. Pas. Dinding Batu Bata ad. 1 : 4</t>
  </si>
  <si>
    <t>Pek. Plasteran Dinding ad. 1 : 4</t>
  </si>
  <si>
    <t>V</t>
  </si>
  <si>
    <t>VII</t>
  </si>
  <si>
    <t>VIII</t>
  </si>
  <si>
    <t>IX</t>
  </si>
  <si>
    <t>X</t>
  </si>
  <si>
    <t>XI</t>
  </si>
  <si>
    <t xml:space="preserve">Pek. Kolom Praktis (K.2) Uk. 11x11 </t>
  </si>
  <si>
    <t>P1</t>
  </si>
  <si>
    <t>P2</t>
  </si>
  <si>
    <t>Team Leader</t>
  </si>
  <si>
    <t>PERHITUNGAN VOLUME PEKERJAAN (BACK-UP DATA)</t>
  </si>
  <si>
    <t>NO</t>
  </si>
  <si>
    <t>ITEM PEKERJAAN &amp; SKETSA BENTUK</t>
  </si>
  <si>
    <t>PENAMPANG</t>
  </si>
  <si>
    <t>UNIT</t>
  </si>
  <si>
    <t>JUMLAH</t>
  </si>
  <si>
    <t>KETERANGAN</t>
  </si>
  <si>
    <t>PARAF</t>
  </si>
  <si>
    <t>LUAS = 3,14 *r2</t>
  </si>
  <si>
    <t>luas =1/4*3,14*d2</t>
  </si>
  <si>
    <t>TOTAL</t>
  </si>
  <si>
    <t>Dalam Ruangan</t>
  </si>
  <si>
    <t>Pek. Dokumentasi Dan Pelaporan</t>
  </si>
  <si>
    <t>Teras depan</t>
  </si>
  <si>
    <t>`</t>
  </si>
  <si>
    <t>XII</t>
  </si>
  <si>
    <t>Pas bunga</t>
  </si>
  <si>
    <t>samping</t>
  </si>
  <si>
    <t>Pek. Pek. Bouwplank/Pengukuran</t>
  </si>
  <si>
    <t>Pek. Pembersihan Awal dan akhir Kegiatan</t>
  </si>
  <si>
    <t>PEKERJAAN PONDASI</t>
  </si>
  <si>
    <t>Pek. Pembuatan Direksikeet</t>
  </si>
  <si>
    <t>P2-1</t>
  </si>
  <si>
    <t>\</t>
  </si>
  <si>
    <t>P1-2</t>
  </si>
  <si>
    <t>K1</t>
  </si>
  <si>
    <t>K2</t>
  </si>
  <si>
    <t>K3</t>
  </si>
  <si>
    <t>K3 TEPI</t>
  </si>
  <si>
    <t>K4</t>
  </si>
  <si>
    <t>Elv -0.23</t>
  </si>
  <si>
    <t>Elv -0.05</t>
  </si>
  <si>
    <t>Bawah Bordes</t>
  </si>
  <si>
    <t>Cover tiang teras</t>
  </si>
  <si>
    <t>Pek. Plat Tangga T. 15 cm Beton Bertulang fc 21,7 Mpa</t>
  </si>
  <si>
    <t>Pek. Plat Bordes T. 15 cm Beton Bertulang fc 21,7 Mpa</t>
  </si>
  <si>
    <t xml:space="preserve">Pek. Plat Lantai T. 12 cm Beton Bertulang fc 21,7 Mpa </t>
  </si>
  <si>
    <t>Elv. -0.23</t>
  </si>
  <si>
    <t>Elv. -0.23 teras depan</t>
  </si>
  <si>
    <t>Elv. -0.05</t>
  </si>
  <si>
    <t>Elv. 3,95</t>
  </si>
  <si>
    <t>Elv. 7,95</t>
  </si>
  <si>
    <t>Elv.+10,25</t>
  </si>
  <si>
    <t>Teras Samping</t>
  </si>
  <si>
    <t>Galian pondasi bata</t>
  </si>
  <si>
    <t>Pembatas rabat</t>
  </si>
  <si>
    <t>bawah lantai selasar</t>
  </si>
  <si>
    <t xml:space="preserve">PEKERJAAN STRUKTUR 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</si>
  <si>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</si>
  <si>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</si>
  <si>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</si>
  <si>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</si>
  <si>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</si>
  <si>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</si>
  <si>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</si>
  <si>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</si>
  <si>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</si>
  <si>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</si>
  <si>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</si>
  <si>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</si>
  <si>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</si>
  <si>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</si>
  <si>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</si>
  <si>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</si>
  <si>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</si>
  <si>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</si>
  <si>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</si>
  <si>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</si>
  <si>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 xml:space="preserve">Pek. Acian </t>
  </si>
  <si>
    <t>Kolom</t>
  </si>
  <si>
    <t>D21</t>
  </si>
  <si>
    <t>D22</t>
  </si>
  <si>
    <t>KOLOM 45X45</t>
  </si>
  <si>
    <t>KOLOM 40X40</t>
  </si>
  <si>
    <t>KOLOM 35X35</t>
  </si>
  <si>
    <t>teras</t>
  </si>
  <si>
    <t>Selasar</t>
  </si>
  <si>
    <t>bawah pondasi bata</t>
  </si>
  <si>
    <t>Bawah pondasi bata</t>
  </si>
  <si>
    <t>pondasi bata</t>
  </si>
  <si>
    <t>anak tangga teras depan</t>
  </si>
  <si>
    <t>tangga samping</t>
  </si>
  <si>
    <t>LANTAI II</t>
  </si>
  <si>
    <t>LANTAI I</t>
  </si>
  <si>
    <t xml:space="preserve"> LANTAI II</t>
  </si>
  <si>
    <t xml:space="preserve">KOLOM 40X40 </t>
  </si>
  <si>
    <t>ELV+8.00</t>
  </si>
  <si>
    <t>Sisi tegak</t>
  </si>
  <si>
    <t>selasar kiri</t>
  </si>
  <si>
    <t>selasar kanan</t>
  </si>
  <si>
    <t>ruang panel</t>
  </si>
  <si>
    <t>Plafond PVC</t>
  </si>
  <si>
    <t>Plafond Gypsum</t>
  </si>
  <si>
    <t>PU1</t>
  </si>
  <si>
    <t>PEKERJAAN KOZYN, PINTU, JENDELA DAN VENTILASI</t>
  </si>
  <si>
    <t>Pek. Pas. Pipa 1/2 Air Bersih</t>
  </si>
  <si>
    <t>Pek. Pas. Pipa 4" Air Kotor (Black Water)</t>
  </si>
  <si>
    <t>PEKERJAAN SANITASI &amp; PIPA</t>
  </si>
  <si>
    <t>Pek. Box Panel Utama</t>
  </si>
  <si>
    <t>PEKERJAAN INSTALASI LISTRIK DAN CAHAYA</t>
  </si>
  <si>
    <t>Pek. Pas. Pipa 3" Air Kotor (Grey Water)</t>
  </si>
  <si>
    <t>Pek. Bak Kontrol Pipa 3" Air Kotor (Grey Water)</t>
  </si>
  <si>
    <t>Pas. Bunga</t>
  </si>
  <si>
    <t>kolom teras</t>
  </si>
  <si>
    <t>samping kiri</t>
  </si>
  <si>
    <t>samping kanan</t>
  </si>
  <si>
    <t>pembatas tangga</t>
  </si>
  <si>
    <t>kaca sudut</t>
  </si>
  <si>
    <t>dinding pembatas</t>
  </si>
  <si>
    <t>atas kaca</t>
  </si>
  <si>
    <t>hexagonal</t>
  </si>
  <si>
    <t>samping WC</t>
  </si>
  <si>
    <t>kolom expose</t>
  </si>
  <si>
    <t>depan tangga</t>
  </si>
  <si>
    <t>P3</t>
  </si>
  <si>
    <t>P4</t>
  </si>
  <si>
    <t>PL1</t>
  </si>
  <si>
    <t>PS1</t>
  </si>
  <si>
    <t>PS2</t>
  </si>
  <si>
    <t>JU1</t>
  </si>
  <si>
    <t>J1</t>
  </si>
  <si>
    <t>J2</t>
  </si>
  <si>
    <t>J3</t>
  </si>
  <si>
    <t>J4</t>
  </si>
  <si>
    <t>P5</t>
  </si>
  <si>
    <t>P6</t>
  </si>
  <si>
    <t>J5</t>
  </si>
  <si>
    <t>J6</t>
  </si>
  <si>
    <t>J7</t>
  </si>
  <si>
    <t>PS3</t>
  </si>
  <si>
    <t>PS4</t>
  </si>
  <si>
    <t>JF</t>
  </si>
  <si>
    <t>KS</t>
  </si>
  <si>
    <t>Pek. Cor Lantai Kerja Bawah Pondasi dan Lantai  f’c = 7,4 MPa (K100)</t>
  </si>
  <si>
    <t xml:space="preserve">Pek. Kolom Pedestal K2 25x25 cm Beton Bertulang fc 21,7 Mpa </t>
  </si>
  <si>
    <t xml:space="preserve">Pek. Kolom K2 25x25 cm Beton Bertulang fc 21,7 Mpa </t>
  </si>
  <si>
    <t>LANTAI DAG ATAP</t>
  </si>
  <si>
    <t>Pek. P1A Daun Pintu Multiplek + HPL + Assesories</t>
  </si>
  <si>
    <t>Pek. P1C Daun Pintu Multiplek + HPL + Assesories</t>
  </si>
  <si>
    <t>Pek. Waterproofing Coating Membrane Plat Dag Atap</t>
  </si>
  <si>
    <t>REKAPITULASI SELURUH PEKERJAAN</t>
  </si>
  <si>
    <t>Pek. Pembongkaran Dinding Batu Bata</t>
  </si>
  <si>
    <t>Pek. Peralatan Keselamatan Kerja Dan Pengamanan Jalur Lalu Lintas</t>
  </si>
  <si>
    <t>Pek. Pembongkaran Tangga Beton</t>
  </si>
  <si>
    <t>Pek. Cor Anak Tangga Belakang</t>
  </si>
  <si>
    <t>Pek. Balok Bordes Tangga Uk. 25x35 cm Beton Bertulang fc 21,7 Mpa</t>
  </si>
  <si>
    <t>Pek. Balok Pinggang Uk. 10x15 cm Beton fc. 14,5 Mpa</t>
  </si>
  <si>
    <t>Jl. Prof DR Sri Sudewi SH No. 19, Sungai Putri, Telanaipura, Kota Jambi, Jambi 36122</t>
  </si>
  <si>
    <t>Pek. Pembongkaran Dak Beton</t>
  </si>
  <si>
    <t>Huruf Timbul Stainless + Logo</t>
  </si>
  <si>
    <t>Pek. Pas. Batu Bata Pinggir Selasar</t>
  </si>
  <si>
    <t>Pek. Plesteran Pinggir Selasar</t>
  </si>
  <si>
    <t>PAGAR DAN TAMAN</t>
  </si>
  <si>
    <t>ASPAL HALAMAN</t>
  </si>
  <si>
    <t>Pek. Surface LED</t>
  </si>
  <si>
    <t>Set</t>
  </si>
  <si>
    <t>Pek. Pas. Instalasi Lampu, Stop Kontak &amp; Exhoust Fan</t>
  </si>
  <si>
    <t>Pek. Pas. Instalasi Stop Kontak AC</t>
  </si>
  <si>
    <t>Pek. Rekondisi Ac 2pk (Pemipaan Pipa Ac Ex. Tateyama atau Setara)</t>
  </si>
  <si>
    <t>Pek. Rekondisi Ac 1.5pk (Pemipaan Pipa Ac Ex. Tateyama atau Setara)</t>
  </si>
  <si>
    <t>Pek. Rekondisi Ac 1pk (Pemipaan Pipa Ac Ex. Tateyama atau Setara)</t>
  </si>
  <si>
    <t>Pek. Rekondisi CCTV</t>
  </si>
  <si>
    <t>Pek. Trafo Stripe Led</t>
  </si>
  <si>
    <t>Pek. Stripe LED</t>
  </si>
  <si>
    <t>Pek. Instalasi LAN (kabel Utp Cat 6E)</t>
  </si>
  <si>
    <t>Pek. Konektor RG 45 CAT 6</t>
  </si>
  <si>
    <t>Pek. Instalasi Telpon</t>
  </si>
  <si>
    <t>Pek. Instalasi TV &amp; Bracket</t>
  </si>
  <si>
    <t>Pek. Instalasi Wifi</t>
  </si>
  <si>
    <t>Pek. Grounding Instalasi</t>
  </si>
  <si>
    <t xml:space="preserve">Pek. Acp + rangka  Pintu Main Entrance </t>
  </si>
  <si>
    <t>INTERIOR GEDUNG</t>
  </si>
  <si>
    <t>PEKERJAAN FISIK GEDUNG</t>
  </si>
  <si>
    <t>Pek. Pindahan KWH</t>
  </si>
  <si>
    <t>Pek. PA Daun Pintu Utama Frameless Kaca 12 mm Tempered</t>
  </si>
  <si>
    <t>PT. JASA RAHARJA (Persero) Cabang Jambi</t>
  </si>
  <si>
    <t>EVA YULIASTA, SE, M.SC</t>
  </si>
  <si>
    <t>Kepala Cabang</t>
  </si>
  <si>
    <t>Konsultan Perencana</t>
  </si>
  <si>
    <t>PT. HOKINDO ARCITA NUSANTARA</t>
  </si>
  <si>
    <t>ASEF JON WAHYUDI, SE</t>
  </si>
  <si>
    <t>2021</t>
  </si>
  <si>
    <t>lt 1</t>
  </si>
  <si>
    <t>LT 2</t>
  </si>
  <si>
    <t>Pek. Pembongkaran Dinding Partisi Lantai II</t>
  </si>
  <si>
    <t>Pek. Pembongkaran Lantai Keramik Lt. I Dan Lantai II</t>
  </si>
  <si>
    <t>Pek. Pembongkaran Konsen Dan Pintu</t>
  </si>
  <si>
    <t>Pek. Balok Lisplank Uk. 10x50 cm Beton fc. 14,5 Mpa</t>
  </si>
  <si>
    <t>Pek. Cat Plafond, Dulux Pentalite Almond 44421</t>
  </si>
  <si>
    <t>Pek. Pembongkaran Cor Plat Lantai Teras, Lantai II</t>
  </si>
  <si>
    <t xml:space="preserve">Pek. Kolom Pedestal K1 30x30 cm Beton Bertulang fc 21,7 Mpa </t>
  </si>
  <si>
    <t xml:space="preserve">Pek. Kolom Pedestal K2 20x30 cm Beton Bertulang fc 21,7 Mpa </t>
  </si>
  <si>
    <t>Pek. Kolom K3 20x30 cm Beton Bertulang fc 21,7 Mpa</t>
  </si>
  <si>
    <t xml:space="preserve">Pek. Balok B1 Uk. 25x45 cm Beton Bertulang fc 21,7 Mpa </t>
  </si>
  <si>
    <t>Pek. Rangka Plafond Hollow  40.40 mm, Interior</t>
  </si>
  <si>
    <t>Pek. Rangka Plafond Hollow  40.40 mm, Extrior</t>
  </si>
  <si>
    <t>Pek. Cat Dinding dan Kolom , Dulux Water shield Daybreak 40544M, Exterior</t>
  </si>
  <si>
    <t>Pek. Cat Dinding dan Kolom , Dulux Pentalite Almond 44421, Interior</t>
  </si>
  <si>
    <t>Pek. Acp + rangka Teras</t>
  </si>
  <si>
    <t>PEKERJAAN LANTAI</t>
  </si>
  <si>
    <t>Pek. Penangkal Petir</t>
  </si>
  <si>
    <t>Pek. Lantai Toilet, Roman Granit 60x60 cm Toilet Type Matt, Dstanford</t>
  </si>
  <si>
    <t>Pek. Sanblas Pintu Utama (Motif Logo JR)</t>
  </si>
  <si>
    <t>GEDUNG KANTOR PT. JASA RAHARJA (Persero) CABANG JAMBI</t>
  </si>
  <si>
    <t>Pek. Pintu Lipat Pagar Jalan Masuk</t>
  </si>
  <si>
    <t>Pek. Tangga Belakang</t>
  </si>
  <si>
    <t>Pek. Pagar Samping Pintu Lipat, Jalan Masuk</t>
  </si>
  <si>
    <t>Pek. Rangka Plafond Accoustic Hollow  40.40 mm, Extrior</t>
  </si>
  <si>
    <t>Pek. Plafond Accoustic T. 9 mm, Extrior</t>
  </si>
  <si>
    <t>Pek. Lantai Ruang Pelayanan, Roman Granit 60x120 cm type Glossy, DBaltimore Bone GT1262023R</t>
  </si>
  <si>
    <t>Pek. Lantai Ruangan, Roman Granit 60x60 cm type Glossy. DDayton Beige GT602139CT, Interior</t>
  </si>
  <si>
    <t>Pek. Lantai Tangga Dalam, Roman Granit 60x60 cm type Glossy. DDayton Beige GT602139CT</t>
  </si>
  <si>
    <t>Pek. Lantai Roman Granit 60x60 cm type Matt, Ddaytona Beige GT 632139CR, Exterior</t>
  </si>
  <si>
    <t>Pek. Plint Lantai Roman Granit 10x60 cm type Matt, Ddaytona Beige GT602139CT, Interior</t>
  </si>
  <si>
    <t>Pek. Rangka Plafond Hollow  40.40 mm, Drop Plafond (Lingkaran)</t>
  </si>
  <si>
    <t>Pek. Drop Plafond (Lingkaran)</t>
  </si>
  <si>
    <t>Pek. Rekondisi Canopy Selasar Arah Musholla</t>
  </si>
  <si>
    <t>Pek. Plafond Gypsum Board T. 9 mm, Interior</t>
  </si>
  <si>
    <t>Pek. Plafond Gypsum Board T. 9 mm, Extrior</t>
  </si>
  <si>
    <t>Pek. V1A Ventilasi Kaca Mati 5 mm</t>
  </si>
  <si>
    <t>Pek. Casemeant + Kaca Mati 5 mm</t>
  </si>
  <si>
    <t>Pek. Kaca Mati Daun Pintu dan Jendela t. 5 mm</t>
  </si>
  <si>
    <t>Pek. Tangga Maintanace</t>
  </si>
  <si>
    <t xml:space="preserve">Pek. Tapak Pondasi 120x120 (P1)  Beton Bertulang fc 21,7 Mpa </t>
  </si>
  <si>
    <t xml:space="preserve">Pek. Tapak Pondasi 100x100 Cm (P2)  Beton Bertulang fc 21,7 Mpa </t>
  </si>
  <si>
    <t>Pek. Kusen jendela aluminium putih</t>
  </si>
  <si>
    <t>Pek. Pas. Kloset Duduk, Toto CW6307 TC2825SJ</t>
  </si>
  <si>
    <t>Pek. Pas. Hand Spray, Toto TX403SMCRB</t>
  </si>
  <si>
    <t>Pek. Pas. Wastafel, Toto LW236CJ</t>
  </si>
  <si>
    <t>Pek. Pas. Urinoir, Toto UP447JNM (Moslem Type) TX501U</t>
  </si>
  <si>
    <t>Pek. Pas. Keran Air Wastafel, Toto TX109LRR</t>
  </si>
  <si>
    <t>Pek. Pas. Floor Drain Stainless Steel, Toto TX1DBV1</t>
  </si>
  <si>
    <t>Pek. Pas. Kloset Jongkok, Toto</t>
  </si>
  <si>
    <t xml:space="preserve">Pek. Pas. Saklar Seri, Panasonic </t>
  </si>
  <si>
    <t>Pek. Pas. Saklar Tunggal, Panasonic</t>
  </si>
  <si>
    <t>Pek. Pas. Stop Kontak, Panasonic</t>
  </si>
  <si>
    <t>Pek. Pas. Stop Kontak AC, Panasonic</t>
  </si>
  <si>
    <t xml:space="preserve">Pek. Exhoustfan, Panasonic </t>
  </si>
  <si>
    <t>Pek. Lampu Rm, Lengkap Sarang Lampu, Luxindo</t>
  </si>
  <si>
    <t>Pek. Pas. Lampu Downlight Led 12 Watt Lengkap Sarang Lampu, Panasonic</t>
  </si>
  <si>
    <t>Pek. Kabel To Floor 4X16 dari Kwh ke Panel Utama, Supreme</t>
  </si>
  <si>
    <t>Pek. Kabel To Floor 4X10 dari Panel Utama ke Panel Distribusi Lt. 2, Supreme</t>
  </si>
  <si>
    <t>Pek. Kabel To Floor 4X25 dari Genset ke Handle Genset, Supreme</t>
  </si>
  <si>
    <t>Pek. Dinding keramik , Roman Granit 60X30 Type Glossy, Dstanford</t>
  </si>
  <si>
    <t>Pek. Pembongkaran Huruf Timbul Lama &amp; Rekondisi Dinding Bekas Logo</t>
  </si>
  <si>
    <t>Pek. Biaya Air &amp; Listrik</t>
  </si>
  <si>
    <t>Pek. Railing Besi Fin. Cat Duco  Dalam + Kaca</t>
  </si>
  <si>
    <t>Pek. Railing Besi Fin. Cat Duco Luar + Kaca</t>
  </si>
  <si>
    <t xml:space="preserve">Pek. PB Daun Pintu Kaca 10 mm </t>
  </si>
  <si>
    <t>PEKERJAAN PELENGKAP</t>
  </si>
  <si>
    <t>PJ 1</t>
  </si>
  <si>
    <t>PJ2</t>
  </si>
  <si>
    <t>J10</t>
  </si>
  <si>
    <t>Roller Blind Kain Dimout ex. Onna</t>
  </si>
  <si>
    <t>PJ 1 diatas pintu</t>
  </si>
  <si>
    <t>PJ2 diatas pintu</t>
  </si>
  <si>
    <t xml:space="preserve">Pek. Kolom K1 40x20 cm Beton Bertulang fc 21,7 Mpa </t>
  </si>
  <si>
    <t>Pek. Balok  Lisplank Belakang Uk. 14x50 cm Beton fc. 14,5 Mpa</t>
  </si>
  <si>
    <t xml:space="preserve">Pek. Balok Sloof Uk. 25x35 cm Beton Bertulang fc 21,7 Mpa </t>
  </si>
  <si>
    <t xml:space="preserve">Pek. Balok B2 Uk. 20x35 cm Beton Bertulang fc 21,7 Mpa </t>
  </si>
  <si>
    <t>Pek. Drop Plafond</t>
  </si>
  <si>
    <t xml:space="preserve">Pek. Septic Tank Biofill </t>
  </si>
  <si>
    <t>Pek. Dinding Septic Tank Biofill</t>
  </si>
  <si>
    <t>Penawar</t>
  </si>
  <si>
    <t>CV/PT……………………….</t>
  </si>
  <si>
    <t>Nama Direktur</t>
  </si>
  <si>
    <t>Jabatan</t>
  </si>
  <si>
    <t>KOP PERUSAHAAN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</si>
</sst>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&quot;Rp&quot;* #,##0_);_(&quot;Rp&quot;* \(#,##0\);_(&quot;Rp&quot;* &quot;-&quot;_);_(@_)"/>
    <numFmt numFmtId="166" formatCode="_(&quot;Rp&quot;* #,##0.00_);_(&quot;Rp&quot;* \(#,##0.00\);_(&quot;Rp&quot;* &quot;-&quot;??_);_(@_)"/>
    <numFmt numFmtId="167" formatCode="_(* #,##0.000_);_(* \(#,##0.000\);_(* &quot;-&quot;??_);_(@_)"/>
    <numFmt numFmtId="168" formatCode="_(* #,##0.000_);_(* \(#,##0.000\);_(* &quot;-&quot;_);_(@_)"/>
    <numFmt numFmtId="169" formatCode="_(* #,##0.00_);_(* \(#,##0.00\);_(* &quot;-&quot;_);_(@_)"/>
    <numFmt numFmtId="171" formatCode="0.0000"/>
    <numFmt numFmtId="177" formatCode="#,##0.00000"/>
  </numFmts>
  <fonts count="4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10"/>
      <name val="Tahoma"/>
      <family val="2"/>
    </font>
    <font>
      <b/>
      <u/>
      <sz val="12"/>
      <name val="Tahoma"/>
      <family val="2"/>
    </font>
    <font>
      <b/>
      <i/>
      <sz val="10"/>
      <name val="Tahoma"/>
      <family val="2"/>
    </font>
    <font>
      <vertAlign val="superscript"/>
      <sz val="10"/>
      <name val="Tahoma"/>
      <family val="2"/>
    </font>
    <font>
      <sz val="10"/>
      <color indexed="12"/>
      <name val="Arial"/>
      <family val="2"/>
    </font>
    <font>
      <i/>
      <sz val="10"/>
      <name val="Tahoma"/>
      <family val="2"/>
    </font>
    <font>
      <sz val="10"/>
      <name val="Arial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b/>
      <u/>
      <sz val="16"/>
      <name val="Trebuchet MS"/>
      <family val="2"/>
    </font>
    <font>
      <sz val="11"/>
      <color indexed="8"/>
      <name val="Trebuchet MS"/>
      <family val="2"/>
    </font>
    <font>
      <b/>
      <sz val="12"/>
      <color indexed="8"/>
      <name val="Trebuchet MS"/>
      <family val="2"/>
    </font>
    <font>
      <b/>
      <u/>
      <sz val="1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i/>
      <sz val="11"/>
      <name val="Trebuchet MS"/>
      <family val="2"/>
    </font>
    <font>
      <i/>
      <sz val="1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u/>
      <sz val="20"/>
      <name val="Calibri"/>
      <family val="2"/>
      <scheme val="minor"/>
    </font>
    <font>
      <sz val="11"/>
      <color rgb="FFFF0000"/>
      <name val="Trebuchet MS"/>
      <family val="2"/>
    </font>
    <font>
      <sz val="12"/>
      <color rgb="FFFF0000"/>
      <name val="Trebuchet MS"/>
      <family val="2"/>
    </font>
    <font>
      <sz val="11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/>
      <name val="Arial"/>
      <family val="2"/>
    </font>
    <font>
      <sz val="10"/>
      <color rgb="FFFF0000"/>
      <name val="Arial"/>
      <family val="2"/>
    </font>
    <font>
      <b/>
      <sz val="1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lightVertical"/>
    </fill>
    <fill>
      <patternFill patternType="lightGray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lightVertical">
        <bgColor rgb="FFFFFF00"/>
      </patternFill>
    </fill>
    <fill>
      <patternFill patternType="lightGray">
        <bgColor theme="0"/>
      </patternFill>
    </fill>
    <fill>
      <patternFill patternType="gray0625">
        <bgColor theme="0"/>
      </patternFill>
    </fill>
  </fills>
  <borders count="1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8" fillId="5" borderId="0" applyNumberFormat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/>
    <xf numFmtId="0" fontId="6" fillId="0" borderId="0">
      <alignment horizontal="center"/>
    </xf>
    <xf numFmtId="0" fontId="1" fillId="0" borderId="0">
      <alignment horizontal="center"/>
    </xf>
    <xf numFmtId="0" fontId="6" fillId="0" borderId="0">
      <alignment horizontal="center"/>
    </xf>
    <xf numFmtId="0" fontId="1" fillId="0" borderId="0">
      <alignment horizontal="center"/>
    </xf>
    <xf numFmtId="0" fontId="28" fillId="0" borderId="0"/>
    <xf numFmtId="9" fontId="1" fillId="0" borderId="0" applyFont="0" applyFill="0" applyBorder="0" applyAlignment="0" applyProtection="0"/>
  </cellStyleXfs>
  <cellXfs count="583">
    <xf numFmtId="0" fontId="0" fillId="0" borderId="0" xfId="0"/>
    <xf numFmtId="39" fontId="4" fillId="0" borderId="0" xfId="0" applyNumberFormat="1" applyFont="1" applyBorder="1" applyAlignment="1" applyProtection="1">
      <alignment vertical="center"/>
    </xf>
    <xf numFmtId="43" fontId="1" fillId="0" borderId="0" xfId="2" applyFont="1"/>
    <xf numFmtId="0" fontId="3" fillId="0" borderId="0" xfId="25" applyFont="1" applyBorder="1"/>
    <xf numFmtId="49" fontId="3" fillId="0" borderId="0" xfId="25" applyNumberFormat="1" applyFont="1" applyBorder="1" applyAlignment="1">
      <alignment horizontal="center"/>
    </xf>
    <xf numFmtId="0" fontId="3" fillId="0" borderId="0" xfId="25" applyFont="1" applyBorder="1" applyAlignment="1">
      <alignment horizontal="center"/>
    </xf>
    <xf numFmtId="4" fontId="3" fillId="0" borderId="0" xfId="25" applyNumberFormat="1" applyFont="1" applyBorder="1"/>
    <xf numFmtId="0" fontId="1" fillId="0" borderId="0" xfId="25" applyFont="1" applyBorder="1"/>
    <xf numFmtId="0" fontId="1" fillId="0" borderId="0" xfId="25" applyFont="1"/>
    <xf numFmtId="49" fontId="7" fillId="0" borderId="0" xfId="25" applyNumberFormat="1" applyFont="1" applyBorder="1" applyAlignment="1">
      <alignment horizontal="center"/>
    </xf>
    <xf numFmtId="4" fontId="7" fillId="0" borderId="0" xfId="25" applyNumberFormat="1" applyFont="1" applyBorder="1" applyAlignment="1">
      <alignment horizontal="center"/>
    </xf>
    <xf numFmtId="49" fontId="3" fillId="0" borderId="0" xfId="25" applyNumberFormat="1" applyFont="1" applyBorder="1" applyAlignment="1"/>
    <xf numFmtId="49" fontId="7" fillId="0" borderId="0" xfId="25" applyNumberFormat="1" applyFont="1" applyBorder="1" applyAlignment="1"/>
    <xf numFmtId="0" fontId="3" fillId="0" borderId="0" xfId="25" applyFont="1"/>
    <xf numFmtId="0" fontId="3" fillId="0" borderId="0" xfId="25" applyNumberFormat="1" applyFont="1" applyAlignment="1"/>
    <xf numFmtId="49" fontId="3" fillId="0" borderId="0" xfId="25" applyNumberFormat="1" applyFont="1"/>
    <xf numFmtId="4" fontId="8" fillId="0" borderId="0" xfId="25" applyNumberFormat="1" applyFont="1" applyBorder="1"/>
    <xf numFmtId="0" fontId="8" fillId="0" borderId="0" xfId="25" applyFont="1" applyBorder="1" applyAlignment="1">
      <alignment horizontal="center"/>
    </xf>
    <xf numFmtId="0" fontId="8" fillId="0" borderId="0" xfId="25" applyFont="1" applyBorder="1"/>
    <xf numFmtId="49" fontId="3" fillId="0" borderId="1" xfId="25" applyNumberFormat="1" applyFont="1" applyBorder="1" applyAlignment="1">
      <alignment horizontal="center"/>
    </xf>
    <xf numFmtId="0" fontId="3" fillId="0" borderId="2" xfId="25" applyFont="1" applyBorder="1"/>
    <xf numFmtId="0" fontId="3" fillId="0" borderId="3" xfId="25" applyFont="1" applyBorder="1"/>
    <xf numFmtId="0" fontId="3" fillId="0" borderId="4" xfId="25" applyFont="1" applyBorder="1"/>
    <xf numFmtId="0" fontId="3" fillId="0" borderId="1" xfId="25" applyFont="1" applyBorder="1" applyAlignment="1">
      <alignment horizontal="center"/>
    </xf>
    <xf numFmtId="4" fontId="3" fillId="0" borderId="1" xfId="25" applyNumberFormat="1" applyFont="1" applyBorder="1"/>
    <xf numFmtId="0" fontId="3" fillId="0" borderId="1" xfId="25" applyFont="1" applyBorder="1"/>
    <xf numFmtId="49" fontId="8" fillId="0" borderId="5" xfId="25" applyNumberFormat="1" applyFont="1" applyBorder="1" applyAlignment="1">
      <alignment horizontal="center"/>
    </xf>
    <xf numFmtId="0" fontId="8" fillId="0" borderId="5" xfId="25" applyFont="1" applyBorder="1" applyAlignment="1">
      <alignment horizontal="center"/>
    </xf>
    <xf numFmtId="4" fontId="8" fillId="0" borderId="5" xfId="25" applyNumberFormat="1" applyFont="1" applyBorder="1" applyAlignment="1">
      <alignment horizontal="center"/>
    </xf>
    <xf numFmtId="49" fontId="3" fillId="0" borderId="6" xfId="25" applyNumberFormat="1" applyFont="1" applyBorder="1" applyAlignment="1">
      <alignment horizontal="center"/>
    </xf>
    <xf numFmtId="0" fontId="3" fillId="0" borderId="7" xfId="25" applyFont="1" applyBorder="1"/>
    <xf numFmtId="0" fontId="3" fillId="0" borderId="8" xfId="25" applyFont="1" applyBorder="1"/>
    <xf numFmtId="0" fontId="3" fillId="0" borderId="9" xfId="25" applyFont="1" applyBorder="1"/>
    <xf numFmtId="0" fontId="3" fillId="0" borderId="6" xfId="25" applyFont="1" applyBorder="1" applyAlignment="1">
      <alignment horizontal="center"/>
    </xf>
    <xf numFmtId="4" fontId="3" fillId="0" borderId="6" xfId="25" applyNumberFormat="1" applyFont="1" applyBorder="1"/>
    <xf numFmtId="0" fontId="3" fillId="0" borderId="6" xfId="25" applyFont="1" applyBorder="1"/>
    <xf numFmtId="49" fontId="3" fillId="0" borderId="5" xfId="25" applyNumberFormat="1" applyFont="1" applyBorder="1" applyAlignment="1">
      <alignment horizontal="center"/>
    </xf>
    <xf numFmtId="0" fontId="3" fillId="0" borderId="5" xfId="25" applyFont="1" applyBorder="1" applyAlignment="1">
      <alignment horizontal="center"/>
    </xf>
    <xf numFmtId="4" fontId="3" fillId="0" borderId="5" xfId="25" applyNumberFormat="1" applyFont="1" applyBorder="1"/>
    <xf numFmtId="0" fontId="3" fillId="0" borderId="5" xfId="25" applyFont="1" applyBorder="1"/>
    <xf numFmtId="171" fontId="12" fillId="2" borderId="0" xfId="25" applyNumberFormat="1" applyFont="1" applyFill="1"/>
    <xf numFmtId="177" fontId="3" fillId="0" borderId="5" xfId="25" applyNumberFormat="1" applyFont="1" applyBorder="1"/>
    <xf numFmtId="0" fontId="3" fillId="0" borderId="0" xfId="25" applyFont="1" applyBorder="1" applyAlignment="1"/>
    <xf numFmtId="0" fontId="3" fillId="0" borderId="0" xfId="25" applyFont="1" applyFill="1" applyBorder="1"/>
    <xf numFmtId="43" fontId="1" fillId="0" borderId="0" xfId="13" applyFont="1"/>
    <xf numFmtId="0" fontId="13" fillId="0" borderId="0" xfId="25" applyFont="1" applyBorder="1"/>
    <xf numFmtId="0" fontId="3" fillId="0" borderId="10" xfId="25" applyFont="1" applyBorder="1" applyAlignment="1">
      <alignment horizontal="center"/>
    </xf>
    <xf numFmtId="4" fontId="3" fillId="0" borderId="10" xfId="25" applyNumberFormat="1" applyFont="1" applyBorder="1"/>
    <xf numFmtId="43" fontId="1" fillId="0" borderId="0" xfId="25" applyNumberFormat="1" applyFont="1"/>
    <xf numFmtId="49" fontId="3" fillId="0" borderId="11" xfId="25" applyNumberFormat="1" applyFont="1" applyBorder="1" applyAlignment="1">
      <alignment horizontal="center"/>
    </xf>
    <xf numFmtId="0" fontId="3" fillId="0" borderId="12" xfId="25" applyFont="1" applyBorder="1"/>
    <xf numFmtId="0" fontId="3" fillId="0" borderId="13" xfId="25" applyFont="1" applyBorder="1"/>
    <xf numFmtId="0" fontId="3" fillId="0" borderId="14" xfId="25" applyFont="1" applyBorder="1"/>
    <xf numFmtId="0" fontId="3" fillId="0" borderId="11" xfId="25" applyFont="1" applyBorder="1" applyAlignment="1">
      <alignment horizontal="center"/>
    </xf>
    <xf numFmtId="4" fontId="3" fillId="0" borderId="11" xfId="25" applyNumberFormat="1" applyFont="1" applyBorder="1"/>
    <xf numFmtId="0" fontId="3" fillId="0" borderId="11" xfId="25" applyFont="1" applyBorder="1"/>
    <xf numFmtId="49" fontId="1" fillId="0" borderId="0" xfId="25" applyNumberFormat="1" applyFont="1" applyBorder="1" applyAlignment="1">
      <alignment horizontal="center"/>
    </xf>
    <xf numFmtId="0" fontId="1" fillId="0" borderId="0" xfId="25" applyFont="1" applyBorder="1" applyAlignment="1">
      <alignment horizontal="center"/>
    </xf>
    <xf numFmtId="4" fontId="1" fillId="0" borderId="0" xfId="25" applyNumberFormat="1" applyFont="1" applyBorder="1"/>
    <xf numFmtId="0" fontId="1" fillId="0" borderId="0" xfId="25" applyFont="1" applyAlignment="1">
      <alignment horizontal="left"/>
    </xf>
    <xf numFmtId="49" fontId="1" fillId="0" borderId="0" xfId="25" applyNumberFormat="1" applyFont="1" applyAlignment="1">
      <alignment horizontal="center"/>
    </xf>
    <xf numFmtId="0" fontId="1" fillId="0" borderId="0" xfId="25" applyFont="1" applyAlignment="1">
      <alignment horizontal="center"/>
    </xf>
    <xf numFmtId="4" fontId="1" fillId="0" borderId="0" xfId="25" applyNumberFormat="1" applyFont="1"/>
    <xf numFmtId="39" fontId="4" fillId="0" borderId="8" xfId="0" applyNumberFormat="1" applyFont="1" applyBorder="1" applyAlignment="1" applyProtection="1">
      <alignment vertical="center"/>
    </xf>
    <xf numFmtId="0" fontId="29" fillId="0" borderId="15" xfId="0" applyFont="1" applyBorder="1"/>
    <xf numFmtId="0" fontId="29" fillId="0" borderId="16" xfId="0" applyFont="1" applyBorder="1"/>
    <xf numFmtId="0" fontId="29" fillId="0" borderId="16" xfId="0" applyFont="1" applyBorder="1" applyAlignment="1">
      <alignment horizontal="center"/>
    </xf>
    <xf numFmtId="165" fontId="29" fillId="0" borderId="17" xfId="0" applyNumberFormat="1" applyFont="1" applyBorder="1"/>
    <xf numFmtId="0" fontId="29" fillId="0" borderId="0" xfId="0" applyFont="1"/>
    <xf numFmtId="0" fontId="30" fillId="0" borderId="0" xfId="0" applyFont="1" applyAlignment="1"/>
    <xf numFmtId="0" fontId="29" fillId="0" borderId="18" xfId="0" applyFont="1" applyBorder="1"/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165" fontId="29" fillId="0" borderId="19" xfId="0" applyNumberFormat="1" applyFont="1" applyBorder="1"/>
    <xf numFmtId="0" fontId="29" fillId="0" borderId="18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39" fontId="29" fillId="0" borderId="0" xfId="0" applyNumberFormat="1" applyFont="1" applyBorder="1" applyAlignment="1">
      <alignment vertical="center"/>
    </xf>
    <xf numFmtId="165" fontId="29" fillId="0" borderId="19" xfId="0" applyNumberFormat="1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29" fillId="0" borderId="8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165" fontId="29" fillId="0" borderId="0" xfId="0" applyNumberFormat="1" applyFont="1"/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165" fontId="30" fillId="0" borderId="26" xfId="0" applyNumberFormat="1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5" fillId="0" borderId="27" xfId="0" applyFont="1" applyBorder="1"/>
    <xf numFmtId="0" fontId="29" fillId="0" borderId="28" xfId="0" applyFont="1" applyBorder="1"/>
    <xf numFmtId="0" fontId="29" fillId="0" borderId="5" xfId="0" applyFont="1" applyBorder="1" applyAlignment="1">
      <alignment horizontal="center"/>
    </xf>
    <xf numFmtId="0" fontId="29" fillId="0" borderId="27" xfId="0" applyFont="1" applyBorder="1" applyAlignment="1">
      <alignment horizontal="center"/>
    </xf>
    <xf numFmtId="169" fontId="29" fillId="0" borderId="29" xfId="3" applyNumberFormat="1" applyFont="1" applyBorder="1"/>
    <xf numFmtId="0" fontId="29" fillId="0" borderId="20" xfId="0" applyFont="1" applyBorder="1"/>
    <xf numFmtId="0" fontId="29" fillId="0" borderId="7" xfId="0" applyFont="1" applyBorder="1"/>
    <xf numFmtId="0" fontId="29" fillId="0" borderId="8" xfId="0" applyFont="1" applyBorder="1"/>
    <xf numFmtId="0" fontId="29" fillId="0" borderId="9" xfId="0" applyFont="1" applyBorder="1"/>
    <xf numFmtId="0" fontId="29" fillId="0" borderId="6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165" fontId="29" fillId="0" borderId="30" xfId="0" applyNumberFormat="1" applyFont="1" applyBorder="1"/>
    <xf numFmtId="166" fontId="29" fillId="0" borderId="0" xfId="0" applyNumberFormat="1" applyFont="1" applyAlignment="1"/>
    <xf numFmtId="166" fontId="31" fillId="0" borderId="0" xfId="0" applyNumberFormat="1" applyFont="1" applyAlignment="1"/>
    <xf numFmtId="0" fontId="16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39" fontId="16" fillId="0" borderId="0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>
      <alignment vertical="center"/>
    </xf>
    <xf numFmtId="39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39" fontId="21" fillId="0" borderId="0" xfId="0" applyNumberFormat="1" applyFont="1" applyFill="1" applyBorder="1" applyAlignment="1" applyProtection="1">
      <alignment vertical="center"/>
    </xf>
    <xf numFmtId="39" fontId="21" fillId="0" borderId="32" xfId="0" applyNumberFormat="1" applyFont="1" applyFill="1" applyBorder="1" applyAlignment="1" applyProtection="1">
      <alignment horizontal="center" vertical="center"/>
    </xf>
    <xf numFmtId="39" fontId="21" fillId="0" borderId="33" xfId="0" applyNumberFormat="1" applyFont="1" applyFill="1" applyBorder="1" applyAlignment="1" applyProtection="1">
      <alignment vertical="center"/>
    </xf>
    <xf numFmtId="39" fontId="21" fillId="0" borderId="33" xfId="0" applyNumberFormat="1" applyFont="1" applyFill="1" applyBorder="1" applyAlignment="1" applyProtection="1">
      <alignment horizontal="left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169" fontId="19" fillId="0" borderId="0" xfId="9" applyNumberFormat="1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39" fontId="21" fillId="0" borderId="0" xfId="0" applyNumberFormat="1" applyFont="1" applyFill="1" applyBorder="1" applyAlignment="1" applyProtection="1">
      <alignment horizontal="center" vertical="center"/>
    </xf>
    <xf numFmtId="169" fontId="21" fillId="0" borderId="0" xfId="9" applyNumberFormat="1" applyFont="1" applyFill="1" applyBorder="1" applyAlignment="1" applyProtection="1">
      <alignment vertical="center"/>
    </xf>
    <xf numFmtId="39" fontId="21" fillId="0" borderId="0" xfId="0" applyNumberFormat="1" applyFont="1" applyFill="1" applyAlignment="1" applyProtection="1">
      <alignment horizontal="center" vertical="center"/>
    </xf>
    <xf numFmtId="39" fontId="21" fillId="0" borderId="0" xfId="0" applyNumberFormat="1" applyFont="1" applyFill="1" applyAlignment="1" applyProtection="1">
      <alignment vertical="center"/>
    </xf>
    <xf numFmtId="169" fontId="21" fillId="0" borderId="0" xfId="9" applyNumberFormat="1" applyFont="1" applyFill="1" applyAlignment="1" applyProtection="1">
      <alignment vertical="center"/>
    </xf>
    <xf numFmtId="169" fontId="21" fillId="0" borderId="52" xfId="9" applyNumberFormat="1" applyFont="1" applyFill="1" applyBorder="1" applyAlignment="1" applyProtection="1">
      <alignment vertical="center"/>
    </xf>
    <xf numFmtId="0" fontId="18" fillId="0" borderId="53" xfId="0" applyFont="1" applyFill="1" applyBorder="1" applyAlignment="1">
      <alignment vertical="center"/>
    </xf>
    <xf numFmtId="0" fontId="18" fillId="0" borderId="54" xfId="0" applyFont="1" applyFill="1" applyBorder="1" applyAlignment="1">
      <alignment vertical="center"/>
    </xf>
    <xf numFmtId="0" fontId="18" fillId="0" borderId="55" xfId="0" applyFont="1" applyFill="1" applyBorder="1" applyAlignment="1">
      <alignment vertical="center"/>
    </xf>
    <xf numFmtId="169" fontId="18" fillId="0" borderId="56" xfId="9" applyNumberFormat="1" applyFont="1" applyFill="1" applyBorder="1" applyAlignment="1">
      <alignment vertical="center"/>
    </xf>
    <xf numFmtId="0" fontId="19" fillId="0" borderId="57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39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169" fontId="18" fillId="0" borderId="41" xfId="9" applyNumberFormat="1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169" fontId="19" fillId="0" borderId="0" xfId="3" applyNumberFormat="1" applyFont="1" applyFill="1" applyAlignment="1">
      <alignment vertical="center"/>
    </xf>
    <xf numFmtId="0" fontId="19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39" fontId="3" fillId="0" borderId="0" xfId="25" applyNumberFormat="1" applyFont="1" applyAlignment="1"/>
    <xf numFmtId="0" fontId="32" fillId="0" borderId="0" xfId="35" applyFont="1" applyAlignment="1">
      <alignment vertical="center"/>
    </xf>
    <xf numFmtId="0" fontId="33" fillId="0" borderId="44" xfId="35" applyFont="1" applyBorder="1" applyAlignment="1">
      <alignment horizontal="center" vertical="center"/>
    </xf>
    <xf numFmtId="43" fontId="32" fillId="0" borderId="0" xfId="35" applyNumberFormat="1" applyFont="1" applyBorder="1" applyAlignment="1">
      <alignment horizontal="left" vertical="center"/>
    </xf>
    <xf numFmtId="0" fontId="33" fillId="0" borderId="0" xfId="35" applyFont="1" applyBorder="1" applyAlignment="1">
      <alignment horizontal="center" vertical="center"/>
    </xf>
    <xf numFmtId="167" fontId="32" fillId="0" borderId="0" xfId="35" applyNumberFormat="1" applyFont="1" applyBorder="1" applyAlignment="1">
      <alignment vertical="center"/>
    </xf>
    <xf numFmtId="0" fontId="32" fillId="0" borderId="0" xfId="35" applyFont="1" applyBorder="1" applyAlignment="1">
      <alignment vertical="center"/>
    </xf>
    <xf numFmtId="0" fontId="32" fillId="0" borderId="0" xfId="35" applyFont="1" applyBorder="1" applyAlignment="1">
      <alignment horizontal="center" vertical="center"/>
    </xf>
    <xf numFmtId="0" fontId="32" fillId="0" borderId="0" xfId="35" applyFont="1" applyBorder="1" applyAlignment="1">
      <alignment horizontal="left" vertical="center"/>
    </xf>
    <xf numFmtId="0" fontId="32" fillId="0" borderId="43" xfId="35" applyFont="1" applyBorder="1" applyAlignment="1">
      <alignment vertical="center"/>
    </xf>
    <xf numFmtId="0" fontId="33" fillId="0" borderId="0" xfId="35" applyFont="1" applyBorder="1" applyAlignment="1">
      <alignment horizontal="left" vertical="center"/>
    </xf>
    <xf numFmtId="0" fontId="34" fillId="0" borderId="0" xfId="35" applyFont="1"/>
    <xf numFmtId="0" fontId="25" fillId="0" borderId="44" xfId="35" applyFont="1" applyBorder="1" applyAlignment="1">
      <alignment horizontal="center" vertical="center"/>
    </xf>
    <xf numFmtId="43" fontId="24" fillId="0" borderId="0" xfId="35" applyNumberFormat="1" applyFont="1" applyBorder="1" applyAlignment="1">
      <alignment horizontal="left" vertical="center"/>
    </xf>
    <xf numFmtId="0" fontId="25" fillId="0" borderId="0" xfId="35" applyFont="1" applyBorder="1" applyAlignment="1">
      <alignment horizontal="center" vertical="center"/>
    </xf>
    <xf numFmtId="39" fontId="24" fillId="0" borderId="0" xfId="35" applyNumberFormat="1" applyFont="1" applyBorder="1" applyAlignment="1">
      <alignment horizontal="left" vertical="center"/>
    </xf>
    <xf numFmtId="167" fontId="24" fillId="0" borderId="0" xfId="35" applyNumberFormat="1" applyFont="1" applyBorder="1" applyAlignment="1">
      <alignment vertical="center"/>
    </xf>
    <xf numFmtId="0" fontId="24" fillId="0" borderId="0" xfId="35" applyFont="1" applyBorder="1" applyAlignment="1">
      <alignment vertical="center"/>
    </xf>
    <xf numFmtId="0" fontId="24" fillId="0" borderId="0" xfId="35" applyFont="1" applyBorder="1" applyAlignment="1">
      <alignment horizontal="center" vertical="center"/>
    </xf>
    <xf numFmtId="0" fontId="24" fillId="0" borderId="43" xfId="35" applyFont="1" applyBorder="1" applyAlignment="1">
      <alignment vertical="center"/>
    </xf>
    <xf numFmtId="0" fontId="24" fillId="0" borderId="0" xfId="35" applyFont="1" applyAlignment="1">
      <alignment vertical="center"/>
    </xf>
    <xf numFmtId="0" fontId="35" fillId="0" borderId="63" xfId="35" applyFont="1" applyBorder="1"/>
    <xf numFmtId="0" fontId="35" fillId="0" borderId="64" xfId="35" applyFont="1" applyBorder="1"/>
    <xf numFmtId="0" fontId="35" fillId="0" borderId="65" xfId="35" applyFont="1" applyBorder="1"/>
    <xf numFmtId="0" fontId="35" fillId="0" borderId="66" xfId="35" applyFont="1" applyBorder="1"/>
    <xf numFmtId="0" fontId="35" fillId="0" borderId="67" xfId="35" applyFont="1" applyBorder="1"/>
    <xf numFmtId="0" fontId="35" fillId="0" borderId="68" xfId="35" applyFont="1" applyBorder="1"/>
    <xf numFmtId="0" fontId="35" fillId="0" borderId="0" xfId="35" applyFont="1"/>
    <xf numFmtId="0" fontId="36" fillId="0" borderId="52" xfId="35" applyFont="1" applyBorder="1"/>
    <xf numFmtId="0" fontId="36" fillId="0" borderId="0" xfId="35" applyFont="1"/>
    <xf numFmtId="169" fontId="35" fillId="0" borderId="33" xfId="35" applyNumberFormat="1" applyFont="1" applyBorder="1"/>
    <xf numFmtId="43" fontId="36" fillId="0" borderId="0" xfId="35" applyNumberFormat="1" applyFont="1"/>
    <xf numFmtId="39" fontId="19" fillId="0" borderId="33" xfId="35" applyNumberFormat="1" applyFont="1" applyFill="1" applyBorder="1" applyAlignment="1" applyProtection="1">
      <alignment vertical="center"/>
    </xf>
    <xf numFmtId="0" fontId="37" fillId="0" borderId="33" xfId="35" applyFont="1" applyBorder="1"/>
    <xf numFmtId="169" fontId="37" fillId="0" borderId="32" xfId="11" applyNumberFormat="1" applyFont="1" applyBorder="1"/>
    <xf numFmtId="169" fontId="37" fillId="0" borderId="61" xfId="11" applyNumberFormat="1" applyFont="1" applyBorder="1"/>
    <xf numFmtId="169" fontId="37" fillId="0" borderId="59" xfId="11" applyNumberFormat="1" applyFont="1" applyBorder="1"/>
    <xf numFmtId="169" fontId="37" fillId="0" borderId="33" xfId="11" applyNumberFormat="1" applyFont="1" applyBorder="1"/>
    <xf numFmtId="0" fontId="37" fillId="0" borderId="52" xfId="35" applyFont="1" applyBorder="1"/>
    <xf numFmtId="0" fontId="37" fillId="0" borderId="0" xfId="35" applyFont="1"/>
    <xf numFmtId="0" fontId="37" fillId="0" borderId="69" xfId="35" applyFont="1" applyBorder="1" applyAlignment="1">
      <alignment vertical="center"/>
    </xf>
    <xf numFmtId="43" fontId="19" fillId="0" borderId="59" xfId="2" applyFont="1" applyBorder="1"/>
    <xf numFmtId="43" fontId="19" fillId="0" borderId="61" xfId="2" applyFont="1" applyBorder="1"/>
    <xf numFmtId="43" fontId="19" fillId="0" borderId="52" xfId="2" applyFont="1" applyBorder="1"/>
    <xf numFmtId="43" fontId="19" fillId="0" borderId="69" xfId="2" applyFont="1" applyBorder="1"/>
    <xf numFmtId="43" fontId="19" fillId="0" borderId="33" xfId="2" applyFont="1" applyBorder="1" applyAlignment="1">
      <alignment horizontal="center"/>
    </xf>
    <xf numFmtId="43" fontId="19" fillId="0" borderId="33" xfId="2" applyFont="1" applyBorder="1"/>
    <xf numFmtId="43" fontId="19" fillId="0" borderId="72" xfId="2" applyFont="1" applyBorder="1"/>
    <xf numFmtId="43" fontId="24" fillId="0" borderId="0" xfId="2" applyFont="1"/>
    <xf numFmtId="43" fontId="18" fillId="0" borderId="52" xfId="2" applyFont="1" applyBorder="1" applyAlignment="1">
      <alignment horizontal="center"/>
    </xf>
    <xf numFmtId="43" fontId="18" fillId="0" borderId="69" xfId="2" applyFont="1" applyBorder="1"/>
    <xf numFmtId="0" fontId="19" fillId="0" borderId="69" xfId="2" applyNumberFormat="1" applyFont="1" applyBorder="1"/>
    <xf numFmtId="43" fontId="19" fillId="0" borderId="73" xfId="2" applyFont="1" applyBorder="1"/>
    <xf numFmtId="43" fontId="19" fillId="0" borderId="74" xfId="2" applyFont="1" applyBorder="1"/>
    <xf numFmtId="0" fontId="19" fillId="0" borderId="72" xfId="2" applyNumberFormat="1" applyFont="1" applyBorder="1" applyAlignment="1">
      <alignment horizontal="center"/>
    </xf>
    <xf numFmtId="43" fontId="25" fillId="0" borderId="69" xfId="2" applyFont="1" applyBorder="1"/>
    <xf numFmtId="43" fontId="19" fillId="0" borderId="73" xfId="2" applyFont="1" applyBorder="1" applyAlignment="1">
      <alignment horizontal="center"/>
    </xf>
    <xf numFmtId="43" fontId="18" fillId="0" borderId="52" xfId="2" applyFont="1" applyBorder="1"/>
    <xf numFmtId="43" fontId="25" fillId="0" borderId="52" xfId="2" applyFont="1" applyBorder="1"/>
    <xf numFmtId="39" fontId="25" fillId="0" borderId="69" xfId="2" applyNumberFormat="1" applyFont="1" applyBorder="1"/>
    <xf numFmtId="0" fontId="35" fillId="0" borderId="75" xfId="35" applyFont="1" applyBorder="1"/>
    <xf numFmtId="0" fontId="37" fillId="0" borderId="58" xfId="35" applyFont="1" applyBorder="1"/>
    <xf numFmtId="0" fontId="36" fillId="0" borderId="58" xfId="35" applyFont="1" applyBorder="1"/>
    <xf numFmtId="169" fontId="38" fillId="0" borderId="61" xfId="35" applyNumberFormat="1" applyFont="1" applyBorder="1"/>
    <xf numFmtId="43" fontId="38" fillId="0" borderId="61" xfId="20" applyFont="1" applyBorder="1"/>
    <xf numFmtId="0" fontId="36" fillId="0" borderId="76" xfId="35" applyFont="1" applyBorder="1"/>
    <xf numFmtId="43" fontId="19" fillId="0" borderId="76" xfId="2" applyFont="1" applyBorder="1"/>
    <xf numFmtId="43" fontId="18" fillId="0" borderId="61" xfId="2" applyFont="1" applyBorder="1"/>
    <xf numFmtId="0" fontId="19" fillId="0" borderId="73" xfId="2" applyNumberFormat="1" applyFont="1" applyBorder="1" applyAlignment="1">
      <alignment horizontal="center"/>
    </xf>
    <xf numFmtId="0" fontId="35" fillId="7" borderId="77" xfId="1" applyFont="1" applyFill="1" applyBorder="1" applyAlignment="1">
      <alignment horizontal="center"/>
    </xf>
    <xf numFmtId="0" fontId="35" fillId="7" borderId="50" xfId="1" applyFont="1" applyFill="1" applyBorder="1" applyAlignment="1">
      <alignment horizontal="center"/>
    </xf>
    <xf numFmtId="0" fontId="35" fillId="7" borderId="78" xfId="35" applyFont="1" applyFill="1" applyBorder="1" applyAlignment="1">
      <alignment horizontal="center"/>
    </xf>
    <xf numFmtId="0" fontId="36" fillId="7" borderId="0" xfId="35" applyFont="1" applyFill="1"/>
    <xf numFmtId="0" fontId="39" fillId="8" borderId="34" xfId="35" applyFont="1" applyFill="1" applyBorder="1" applyAlignment="1">
      <alignment vertical="center"/>
    </xf>
    <xf numFmtId="0" fontId="39" fillId="8" borderId="35" xfId="35" applyFont="1" applyFill="1" applyBorder="1" applyAlignment="1">
      <alignment vertical="center"/>
    </xf>
    <xf numFmtId="0" fontId="32" fillId="3" borderId="0" xfId="35" applyFont="1" applyFill="1" applyAlignment="1">
      <alignment vertical="center"/>
    </xf>
    <xf numFmtId="0" fontId="24" fillId="0" borderId="0" xfId="35" applyFont="1" applyBorder="1" applyAlignment="1">
      <alignment horizontal="right" vertical="center"/>
    </xf>
    <xf numFmtId="0" fontId="32" fillId="0" borderId="0" xfId="35" applyFont="1" applyBorder="1" applyAlignment="1">
      <alignment horizontal="right" vertical="center"/>
    </xf>
    <xf numFmtId="0" fontId="35" fillId="0" borderId="66" xfId="35" applyFont="1" applyBorder="1" applyAlignment="1">
      <alignment horizontal="right"/>
    </xf>
    <xf numFmtId="169" fontId="37" fillId="0" borderId="61" xfId="11" applyNumberFormat="1" applyFont="1" applyBorder="1" applyAlignment="1">
      <alignment horizontal="right"/>
    </xf>
    <xf numFmtId="43" fontId="19" fillId="0" borderId="61" xfId="2" applyFont="1" applyBorder="1" applyAlignment="1">
      <alignment horizontal="right"/>
    </xf>
    <xf numFmtId="0" fontId="34" fillId="0" borderId="0" xfId="35" applyFont="1" applyAlignment="1">
      <alignment horizontal="right"/>
    </xf>
    <xf numFmtId="0" fontId="23" fillId="0" borderId="0" xfId="0" applyFont="1" applyFill="1" applyAlignment="1">
      <alignment vertical="center"/>
    </xf>
    <xf numFmtId="0" fontId="24" fillId="0" borderId="76" xfId="35" applyFont="1" applyBorder="1"/>
    <xf numFmtId="43" fontId="18" fillId="0" borderId="61" xfId="20" applyFont="1" applyBorder="1"/>
    <xf numFmtId="169" fontId="25" fillId="0" borderId="33" xfId="35" applyNumberFormat="1" applyFont="1" applyBorder="1"/>
    <xf numFmtId="0" fontId="24" fillId="0" borderId="52" xfId="35" applyFont="1" applyBorder="1"/>
    <xf numFmtId="43" fontId="24" fillId="0" borderId="0" xfId="35" applyNumberFormat="1" applyFont="1"/>
    <xf numFmtId="0" fontId="24" fillId="0" borderId="0" xfId="35" applyFont="1"/>
    <xf numFmtId="43" fontId="40" fillId="0" borderId="52" xfId="2" applyFont="1" applyBorder="1"/>
    <xf numFmtId="43" fontId="40" fillId="0" borderId="33" xfId="2" applyFont="1" applyBorder="1"/>
    <xf numFmtId="43" fontId="41" fillId="0" borderId="0" xfId="2" applyFont="1"/>
    <xf numFmtId="43" fontId="40" fillId="0" borderId="69" xfId="2" applyFont="1" applyBorder="1"/>
    <xf numFmtId="43" fontId="40" fillId="0" borderId="33" xfId="2" applyFont="1" applyBorder="1" applyAlignment="1">
      <alignment horizontal="center"/>
    </xf>
    <xf numFmtId="39" fontId="16" fillId="0" borderId="61" xfId="0" applyNumberFormat="1" applyFont="1" applyFill="1" applyBorder="1" applyAlignment="1" applyProtection="1">
      <alignment vertical="center"/>
      <protection locked="0"/>
    </xf>
    <xf numFmtId="0" fontId="42" fillId="0" borderId="0" xfId="0" applyFont="1" applyFill="1" applyAlignment="1">
      <alignment vertical="center"/>
    </xf>
    <xf numFmtId="0" fontId="16" fillId="0" borderId="33" xfId="0" applyFont="1" applyFill="1" applyBorder="1" applyAlignment="1">
      <alignment horizontal="left" vertical="center"/>
    </xf>
    <xf numFmtId="0" fontId="16" fillId="0" borderId="33" xfId="0" applyFont="1" applyFill="1" applyBorder="1" applyAlignment="1">
      <alignment vertical="center"/>
    </xf>
    <xf numFmtId="169" fontId="16" fillId="0" borderId="58" xfId="17" applyNumberFormat="1" applyFont="1" applyFill="1" applyBorder="1" applyAlignment="1">
      <alignment horizontal="right" vertical="center"/>
    </xf>
    <xf numFmtId="169" fontId="16" fillId="0" borderId="59" xfId="9" applyNumberFormat="1" applyFont="1" applyFill="1" applyBorder="1" applyAlignment="1">
      <alignment horizontal="center" vertical="center"/>
    </xf>
    <xf numFmtId="169" fontId="16" fillId="0" borderId="52" xfId="9" applyNumberFormat="1" applyFont="1" applyFill="1" applyBorder="1" applyAlignment="1" applyProtection="1">
      <alignment vertical="center"/>
    </xf>
    <xf numFmtId="169" fontId="19" fillId="0" borderId="0" xfId="0" applyNumberFormat="1" applyFont="1" applyFill="1" applyAlignment="1">
      <alignment vertical="center"/>
    </xf>
    <xf numFmtId="41" fontId="19" fillId="0" borderId="0" xfId="3" applyFont="1" applyFill="1" applyAlignment="1">
      <alignment vertical="center"/>
    </xf>
    <xf numFmtId="164" fontId="19" fillId="0" borderId="61" xfId="2" applyNumberFormat="1" applyFont="1" applyBorder="1"/>
    <xf numFmtId="43" fontId="19" fillId="0" borderId="72" xfId="2" applyFont="1" applyBorder="1" applyAlignment="1">
      <alignment horizontal="right"/>
    </xf>
    <xf numFmtId="0" fontId="18" fillId="0" borderId="3" xfId="0" applyFont="1" applyFill="1" applyBorder="1" applyAlignment="1">
      <alignment vertical="center"/>
    </xf>
    <xf numFmtId="169" fontId="18" fillId="0" borderId="46" xfId="9" applyNumberFormat="1" applyFont="1" applyFill="1" applyBorder="1" applyAlignment="1">
      <alignment vertical="center"/>
    </xf>
    <xf numFmtId="43" fontId="19" fillId="0" borderId="61" xfId="2" applyFont="1" applyFill="1" applyBorder="1"/>
    <xf numFmtId="43" fontId="38" fillId="0" borderId="61" xfId="20" applyFont="1" applyFill="1" applyBorder="1"/>
    <xf numFmtId="43" fontId="18" fillId="0" borderId="61" xfId="20" applyFont="1" applyFill="1" applyBorder="1"/>
    <xf numFmtId="167" fontId="19" fillId="0" borderId="61" xfId="2" applyNumberFormat="1" applyFont="1" applyBorder="1"/>
    <xf numFmtId="43" fontId="19" fillId="0" borderId="72" xfId="2" applyFont="1" applyBorder="1" applyAlignment="1">
      <alignment horizontal="center"/>
    </xf>
    <xf numFmtId="0" fontId="35" fillId="9" borderId="74" xfId="35" applyFont="1" applyFill="1" applyBorder="1" applyAlignment="1">
      <alignment horizontal="right" vertical="center"/>
    </xf>
    <xf numFmtId="0" fontId="35" fillId="9" borderId="73" xfId="35" applyFont="1" applyFill="1" applyBorder="1" applyAlignment="1">
      <alignment horizontal="right" vertical="center"/>
    </xf>
    <xf numFmtId="0" fontId="35" fillId="9" borderId="83" xfId="35" applyFont="1" applyFill="1" applyBorder="1" applyAlignment="1">
      <alignment horizontal="right" vertical="center"/>
    </xf>
    <xf numFmtId="169" fontId="16" fillId="0" borderId="58" xfId="2" applyNumberFormat="1" applyFont="1" applyFill="1" applyBorder="1" applyAlignment="1">
      <alignment horizontal="right" vertical="center"/>
    </xf>
    <xf numFmtId="0" fontId="43" fillId="0" borderId="0" xfId="0" applyFont="1" applyFill="1" applyAlignment="1">
      <alignment vertical="center"/>
    </xf>
    <xf numFmtId="0" fontId="44" fillId="0" borderId="39" xfId="0" applyFont="1" applyFill="1" applyBorder="1" applyAlignment="1">
      <alignment vertical="center"/>
    </xf>
    <xf numFmtId="169" fontId="43" fillId="0" borderId="36" xfId="3" applyNumberFormat="1" applyFont="1" applyFill="1" applyBorder="1" applyAlignment="1">
      <alignment vertical="center"/>
    </xf>
    <xf numFmtId="169" fontId="43" fillId="0" borderId="37" xfId="3" applyNumberFormat="1" applyFont="1" applyFill="1" applyBorder="1" applyAlignment="1">
      <alignment horizontal="center" vertical="center"/>
    </xf>
    <xf numFmtId="169" fontId="43" fillId="0" borderId="38" xfId="3" applyNumberFormat="1" applyFont="1" applyFill="1" applyBorder="1" applyAlignment="1" applyProtection="1">
      <alignment vertical="center"/>
      <protection locked="0"/>
    </xf>
    <xf numFmtId="169" fontId="43" fillId="0" borderId="45" xfId="3" applyNumberFormat="1" applyFont="1" applyFill="1" applyBorder="1" applyAlignment="1">
      <alignment vertical="center"/>
    </xf>
    <xf numFmtId="169" fontId="43" fillId="0" borderId="0" xfId="3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0" borderId="32" xfId="0" applyFont="1" applyFill="1" applyBorder="1" applyAlignment="1">
      <alignment horizontal="right" vertical="center"/>
    </xf>
    <xf numFmtId="0" fontId="43" fillId="0" borderId="33" xfId="0" applyFont="1" applyFill="1" applyBorder="1" applyAlignment="1">
      <alignment vertical="center"/>
    </xf>
    <xf numFmtId="39" fontId="43" fillId="0" borderId="61" xfId="0" applyNumberFormat="1" applyFont="1" applyFill="1" applyBorder="1" applyAlignment="1" applyProtection="1">
      <alignment vertical="center"/>
      <protection locked="0"/>
    </xf>
    <xf numFmtId="169" fontId="43" fillId="0" borderId="52" xfId="3" applyNumberFormat="1" applyFont="1" applyFill="1" applyBorder="1" applyAlignment="1" applyProtection="1">
      <alignment vertical="center"/>
    </xf>
    <xf numFmtId="169" fontId="43" fillId="0" borderId="0" xfId="3" applyNumberFormat="1" applyFont="1" applyFill="1" applyBorder="1" applyAlignment="1" applyProtection="1">
      <alignment vertical="center"/>
    </xf>
    <xf numFmtId="0" fontId="19" fillId="0" borderId="74" xfId="2" applyNumberFormat="1" applyFont="1" applyBorder="1"/>
    <xf numFmtId="0" fontId="36" fillId="0" borderId="0" xfId="35" applyFont="1" applyBorder="1"/>
    <xf numFmtId="39" fontId="21" fillId="0" borderId="0" xfId="0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164" fontId="19" fillId="0" borderId="0" xfId="0" applyNumberFormat="1" applyFont="1" applyFill="1" applyAlignment="1">
      <alignment vertical="center"/>
    </xf>
    <xf numFmtId="41" fontId="19" fillId="0" borderId="0" xfId="3" applyFont="1" applyAlignment="1">
      <alignment vertical="center"/>
    </xf>
    <xf numFmtId="41" fontId="19" fillId="0" borderId="0" xfId="0" applyNumberFormat="1" applyFont="1" applyFill="1" applyAlignment="1">
      <alignment vertical="center"/>
    </xf>
    <xf numFmtId="0" fontId="18" fillId="0" borderId="33" xfId="0" applyFont="1" applyFill="1" applyBorder="1" applyAlignment="1">
      <alignment horizontal="left" vertical="center"/>
    </xf>
    <xf numFmtId="39" fontId="19" fillId="0" borderId="0" xfId="0" applyNumberFormat="1" applyFont="1" applyBorder="1" applyAlignment="1" applyProtection="1">
      <alignment horizontal="left" vertical="center" wrapText="1"/>
    </xf>
    <xf numFmtId="0" fontId="18" fillId="0" borderId="87" xfId="0" applyFont="1" applyFill="1" applyBorder="1" applyAlignment="1">
      <alignment vertical="center"/>
    </xf>
    <xf numFmtId="0" fontId="18" fillId="0" borderId="39" xfId="0" applyFont="1" applyFill="1" applyBorder="1" applyAlignment="1">
      <alignment vertical="center"/>
    </xf>
    <xf numFmtId="169" fontId="19" fillId="0" borderId="0" xfId="3" applyNumberFormat="1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6" fillId="0" borderId="73" xfId="0" applyFont="1" applyFill="1" applyBorder="1" applyAlignment="1">
      <alignment horizontal="left" vertical="center"/>
    </xf>
    <xf numFmtId="0" fontId="16" fillId="0" borderId="73" xfId="0" applyFont="1" applyFill="1" applyBorder="1" applyAlignment="1">
      <alignment vertical="center"/>
    </xf>
    <xf numFmtId="169" fontId="16" fillId="0" borderId="76" xfId="17" applyNumberFormat="1" applyFont="1" applyFill="1" applyBorder="1" applyAlignment="1">
      <alignment horizontal="right" vertical="center"/>
    </xf>
    <xf numFmtId="169" fontId="16" fillId="0" borderId="83" xfId="9" applyNumberFormat="1" applyFont="1" applyFill="1" applyBorder="1" applyAlignment="1">
      <alignment horizontal="center" vertical="center"/>
    </xf>
    <xf numFmtId="39" fontId="16" fillId="0" borderId="84" xfId="0" applyNumberFormat="1" applyFont="1" applyFill="1" applyBorder="1" applyAlignment="1" applyProtection="1">
      <alignment vertical="center"/>
      <protection locked="0"/>
    </xf>
    <xf numFmtId="169" fontId="16" fillId="0" borderId="85" xfId="9" applyNumberFormat="1" applyFont="1" applyFill="1" applyBorder="1" applyAlignment="1" applyProtection="1">
      <alignment vertical="center"/>
    </xf>
    <xf numFmtId="169" fontId="16" fillId="0" borderId="0" xfId="17" applyNumberFormat="1" applyFont="1" applyFill="1" applyBorder="1" applyAlignment="1">
      <alignment horizontal="right" vertical="center"/>
    </xf>
    <xf numFmtId="169" fontId="16" fillId="0" borderId="0" xfId="9" applyNumberFormat="1" applyFont="1" applyFill="1" applyBorder="1" applyAlignment="1">
      <alignment horizontal="center" vertical="center"/>
    </xf>
    <xf numFmtId="39" fontId="16" fillId="0" borderId="0" xfId="0" applyNumberFormat="1" applyFont="1" applyFill="1" applyBorder="1" applyAlignment="1" applyProtection="1">
      <alignment vertical="center"/>
      <protection locked="0"/>
    </xf>
    <xf numFmtId="169" fontId="16" fillId="0" borderId="0" xfId="9" applyNumberFormat="1" applyFont="1" applyFill="1" applyBorder="1" applyAlignment="1" applyProtection="1">
      <alignment vertical="center"/>
    </xf>
    <xf numFmtId="0" fontId="18" fillId="0" borderId="71" xfId="0" applyFont="1" applyFill="1" applyBorder="1" applyAlignment="1">
      <alignment horizontal="left" vertical="center"/>
    </xf>
    <xf numFmtId="39" fontId="22" fillId="4" borderId="24" xfId="0" applyNumberFormat="1" applyFont="1" applyFill="1" applyBorder="1" applyAlignment="1" applyProtection="1">
      <alignment horizontal="center" vertical="center"/>
    </xf>
    <xf numFmtId="169" fontId="22" fillId="4" borderId="40" xfId="9" applyNumberFormat="1" applyFont="1" applyFill="1" applyBorder="1" applyAlignment="1" applyProtection="1">
      <alignment horizontal="center" vertical="center"/>
    </xf>
    <xf numFmtId="39" fontId="22" fillId="4" borderId="14" xfId="0" applyNumberFormat="1" applyFont="1" applyFill="1" applyBorder="1" applyAlignment="1" applyProtection="1">
      <alignment horizontal="center" vertical="center"/>
    </xf>
    <xf numFmtId="169" fontId="22" fillId="4" borderId="41" xfId="9" applyNumberFormat="1" applyFont="1" applyFill="1" applyBorder="1" applyAlignment="1" applyProtection="1">
      <alignment horizontal="center" vertical="center"/>
    </xf>
    <xf numFmtId="0" fontId="22" fillId="4" borderId="94" xfId="0" applyNumberFormat="1" applyFont="1" applyFill="1" applyBorder="1" applyAlignment="1" applyProtection="1">
      <alignment horizontal="center" vertical="center"/>
    </xf>
    <xf numFmtId="0" fontId="22" fillId="4" borderId="45" xfId="9" applyNumberFormat="1" applyFont="1" applyFill="1" applyBorder="1" applyAlignment="1" applyProtection="1">
      <alignment horizontal="center" vertical="center"/>
    </xf>
    <xf numFmtId="0" fontId="19" fillId="4" borderId="95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vertical="center"/>
    </xf>
    <xf numFmtId="42" fontId="18" fillId="4" borderId="24" xfId="22" applyFont="1" applyFill="1" applyBorder="1" applyAlignment="1">
      <alignment horizontal="center" vertical="center"/>
    </xf>
    <xf numFmtId="0" fontId="19" fillId="4" borderId="48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vertical="center"/>
    </xf>
    <xf numFmtId="42" fontId="18" fillId="4" borderId="80" xfId="22" applyFont="1" applyFill="1" applyBorder="1" applyAlignment="1">
      <alignment horizontal="center" vertical="center"/>
    </xf>
    <xf numFmtId="0" fontId="18" fillId="4" borderId="53" xfId="0" applyFont="1" applyFill="1" applyBorder="1" applyAlignment="1">
      <alignment vertical="center"/>
    </xf>
    <xf numFmtId="0" fontId="18" fillId="4" borderId="54" xfId="0" applyFont="1" applyFill="1" applyBorder="1" applyAlignment="1">
      <alignment vertical="center"/>
    </xf>
    <xf numFmtId="0" fontId="18" fillId="4" borderId="55" xfId="0" applyFont="1" applyFill="1" applyBorder="1" applyAlignment="1">
      <alignment vertical="center"/>
    </xf>
    <xf numFmtId="169" fontId="18" fillId="4" borderId="56" xfId="9" applyNumberFormat="1" applyFont="1" applyFill="1" applyBorder="1" applyAlignment="1">
      <alignment vertical="center"/>
    </xf>
    <xf numFmtId="0" fontId="19" fillId="0" borderId="79" xfId="0" applyFont="1" applyFill="1" applyBorder="1" applyAlignment="1">
      <alignment vertical="center"/>
    </xf>
    <xf numFmtId="0" fontId="19" fillId="0" borderId="49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169" fontId="22" fillId="4" borderId="0" xfId="9" applyNumberFormat="1" applyFont="1" applyFill="1" applyBorder="1" applyAlignment="1" applyProtection="1">
      <alignment horizontal="center" vertical="center"/>
    </xf>
    <xf numFmtId="0" fontId="22" fillId="4" borderId="0" xfId="9" applyNumberFormat="1" applyFont="1" applyFill="1" applyBorder="1" applyAlignment="1" applyProtection="1">
      <alignment horizontal="center" vertical="center"/>
    </xf>
    <xf numFmtId="169" fontId="18" fillId="4" borderId="0" xfId="9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40" fillId="0" borderId="0" xfId="0" applyFont="1" applyFill="1" applyAlignment="1">
      <alignment vertical="center"/>
    </xf>
    <xf numFmtId="41" fontId="40" fillId="0" borderId="0" xfId="0" applyNumberFormat="1" applyFont="1" applyFill="1" applyAlignment="1">
      <alignment vertical="center"/>
    </xf>
    <xf numFmtId="0" fontId="40" fillId="0" borderId="0" xfId="0" applyFont="1" applyAlignment="1">
      <alignment vertical="center"/>
    </xf>
    <xf numFmtId="0" fontId="18" fillId="0" borderId="94" xfId="0" applyFont="1" applyFill="1" applyBorder="1" applyAlignment="1">
      <alignment horizontal="center" vertical="center"/>
    </xf>
    <xf numFmtId="169" fontId="19" fillId="0" borderId="0" xfId="3" applyNumberFormat="1" applyFont="1" applyFill="1" applyAlignment="1">
      <alignment horizontal="left" vertical="center"/>
    </xf>
    <xf numFmtId="0" fontId="45" fillId="0" borderId="0" xfId="0" applyFont="1" applyFill="1" applyAlignment="1">
      <alignment vertical="center"/>
    </xf>
    <xf numFmtId="169" fontId="18" fillId="0" borderId="0" xfId="3" applyNumberFormat="1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44" fillId="0" borderId="70" xfId="0" applyFont="1" applyFill="1" applyBorder="1" applyAlignment="1">
      <alignment horizontal="right" vertical="center"/>
    </xf>
    <xf numFmtId="0" fontId="44" fillId="0" borderId="71" xfId="0" applyFont="1" applyFill="1" applyBorder="1" applyAlignment="1">
      <alignment vertical="center"/>
    </xf>
    <xf numFmtId="169" fontId="43" fillId="0" borderId="93" xfId="3" applyNumberFormat="1" applyFont="1" applyFill="1" applyBorder="1" applyAlignment="1">
      <alignment vertical="center"/>
    </xf>
    <xf numFmtId="169" fontId="43" fillId="0" borderId="91" xfId="3" applyNumberFormat="1" applyFont="1" applyFill="1" applyBorder="1" applyAlignment="1">
      <alignment horizontal="center" vertical="center"/>
    </xf>
    <xf numFmtId="169" fontId="43" fillId="0" borderId="92" xfId="3" applyNumberFormat="1" applyFont="1" applyFill="1" applyBorder="1" applyAlignment="1" applyProtection="1">
      <alignment vertical="center"/>
      <protection locked="0"/>
    </xf>
    <xf numFmtId="169" fontId="43" fillId="0" borderId="90" xfId="3" applyNumberFormat="1" applyFont="1" applyFill="1" applyBorder="1" applyAlignment="1">
      <alignment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100" xfId="0" applyFont="1" applyFill="1" applyBorder="1" applyAlignment="1">
      <alignment horizontal="center" vertical="center"/>
    </xf>
    <xf numFmtId="0" fontId="17" fillId="0" borderId="98" xfId="0" applyFont="1" applyFill="1" applyBorder="1" applyAlignment="1">
      <alignment horizontal="center" vertical="center"/>
    </xf>
    <xf numFmtId="169" fontId="17" fillId="0" borderId="60" xfId="9" applyNumberFormat="1" applyFont="1" applyFill="1" applyBorder="1" applyAlignment="1">
      <alignment vertical="center"/>
    </xf>
    <xf numFmtId="39" fontId="18" fillId="0" borderId="70" xfId="0" applyNumberFormat="1" applyFont="1" applyFill="1" applyBorder="1" applyAlignment="1" applyProtection="1">
      <alignment horizontal="center" vertical="center"/>
    </xf>
    <xf numFmtId="39" fontId="18" fillId="0" borderId="71" xfId="0" applyNumberFormat="1" applyFont="1" applyFill="1" applyBorder="1" applyAlignment="1" applyProtection="1">
      <alignment vertical="center"/>
    </xf>
    <xf numFmtId="39" fontId="18" fillId="0" borderId="71" xfId="0" applyNumberFormat="1" applyFont="1" applyFill="1" applyBorder="1" applyAlignment="1" applyProtection="1">
      <alignment horizontal="left" vertical="center"/>
    </xf>
    <xf numFmtId="39" fontId="16" fillId="0" borderId="71" xfId="0" applyNumberFormat="1" applyFont="1" applyFill="1" applyBorder="1" applyAlignment="1" applyProtection="1">
      <alignment horizontal="left" vertical="center"/>
    </xf>
    <xf numFmtId="169" fontId="16" fillId="0" borderId="91" xfId="9" applyNumberFormat="1" applyFont="1" applyFill="1" applyBorder="1" applyAlignment="1" applyProtection="1">
      <alignment horizontal="center" vertical="center"/>
    </xf>
    <xf numFmtId="169" fontId="16" fillId="0" borderId="92" xfId="9" applyNumberFormat="1" applyFont="1" applyFill="1" applyBorder="1" applyAlignment="1" applyProtection="1">
      <alignment vertical="center"/>
    </xf>
    <xf numFmtId="169" fontId="16" fillId="0" borderId="90" xfId="9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left" vertical="center"/>
    </xf>
    <xf numFmtId="169" fontId="1" fillId="0" borderId="59" xfId="3" applyNumberFormat="1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43" fillId="0" borderId="70" xfId="0" applyFont="1" applyFill="1" applyBorder="1" applyAlignment="1">
      <alignment horizontal="right" vertical="center"/>
    </xf>
    <xf numFmtId="0" fontId="43" fillId="0" borderId="71" xfId="0" applyFont="1" applyFill="1" applyBorder="1" applyAlignment="1">
      <alignment vertical="center"/>
    </xf>
    <xf numFmtId="169" fontId="43" fillId="0" borderId="90" xfId="3" applyNumberFormat="1" applyFont="1" applyFill="1" applyBorder="1" applyAlignment="1" applyProtection="1">
      <alignment vertical="center"/>
    </xf>
    <xf numFmtId="0" fontId="44" fillId="0" borderId="62" xfId="0" applyFont="1" applyFill="1" applyBorder="1" applyAlignment="1">
      <alignment horizontal="right" vertical="center"/>
    </xf>
    <xf numFmtId="0" fontId="44" fillId="0" borderId="0" xfId="0" applyFont="1" applyFill="1" applyBorder="1" applyAlignment="1">
      <alignment vertical="center"/>
    </xf>
    <xf numFmtId="169" fontId="43" fillId="0" borderId="27" xfId="3" applyNumberFormat="1" applyFont="1" applyFill="1" applyBorder="1" applyAlignment="1">
      <alignment vertical="center"/>
    </xf>
    <xf numFmtId="169" fontId="43" fillId="0" borderId="28" xfId="3" applyNumberFormat="1" applyFont="1" applyFill="1" applyBorder="1" applyAlignment="1">
      <alignment horizontal="center" vertical="center"/>
    </xf>
    <xf numFmtId="169" fontId="43" fillId="0" borderId="5" xfId="3" applyNumberFormat="1" applyFont="1" applyFill="1" applyBorder="1" applyAlignment="1" applyProtection="1">
      <alignment vertical="center"/>
      <protection locked="0"/>
    </xf>
    <xf numFmtId="169" fontId="43" fillId="0" borderId="47" xfId="3" applyNumberFormat="1" applyFont="1" applyFill="1" applyBorder="1" applyAlignment="1">
      <alignment vertical="center"/>
    </xf>
    <xf numFmtId="39" fontId="17" fillId="0" borderId="0" xfId="0" applyNumberFormat="1" applyFont="1" applyFill="1" applyBorder="1" applyAlignment="1">
      <alignment horizontal="left" vertical="center"/>
    </xf>
    <xf numFmtId="39" fontId="19" fillId="0" borderId="0" xfId="0" applyNumberFormat="1" applyFont="1" applyFill="1" applyBorder="1" applyAlignment="1" applyProtection="1">
      <alignment vertical="center"/>
    </xf>
    <xf numFmtId="39" fontId="19" fillId="0" borderId="0" xfId="0" applyNumberFormat="1" applyFont="1" applyFill="1" applyBorder="1" applyAlignment="1">
      <alignment horizontal="left" vertical="center"/>
    </xf>
    <xf numFmtId="39" fontId="16" fillId="0" borderId="0" xfId="0" applyNumberFormat="1" applyFont="1" applyFill="1" applyBorder="1" applyAlignment="1" applyProtection="1">
      <alignment horizontal="center" vertical="center"/>
    </xf>
    <xf numFmtId="39" fontId="27" fillId="0" borderId="0" xfId="0" applyNumberFormat="1" applyFont="1" applyFill="1" applyBorder="1" applyAlignment="1">
      <alignment horizontal="left" vertical="center"/>
    </xf>
    <xf numFmtId="169" fontId="16" fillId="0" borderId="0" xfId="9" applyNumberFormat="1" applyFont="1" applyFill="1" applyBorder="1" applyAlignment="1" applyProtection="1">
      <alignment horizontal="center" vertical="center"/>
    </xf>
    <xf numFmtId="39" fontId="19" fillId="0" borderId="0" xfId="0" quotePrefix="1" applyNumberFormat="1" applyFont="1" applyFill="1" applyBorder="1" applyAlignment="1">
      <alignment horizontal="left" vertical="center"/>
    </xf>
    <xf numFmtId="169" fontId="18" fillId="0" borderId="25" xfId="9" applyNumberFormat="1" applyFont="1" applyFill="1" applyBorder="1" applyAlignment="1" applyProtection="1">
      <alignment horizontal="center" vertical="center"/>
    </xf>
    <xf numFmtId="169" fontId="18" fillId="0" borderId="40" xfId="9" applyNumberFormat="1" applyFont="1" applyFill="1" applyBorder="1" applyAlignment="1" applyProtection="1">
      <alignment horizontal="center" vertical="center"/>
    </xf>
    <xf numFmtId="169" fontId="18" fillId="0" borderId="11" xfId="9" applyNumberFormat="1" applyFont="1" applyFill="1" applyBorder="1" applyAlignment="1" applyProtection="1">
      <alignment horizontal="center" vertical="center"/>
    </xf>
    <xf numFmtId="169" fontId="18" fillId="0" borderId="41" xfId="9" applyNumberFormat="1" applyFont="1" applyFill="1" applyBorder="1" applyAlignment="1" applyProtection="1">
      <alignment horizontal="center" vertical="center"/>
    </xf>
    <xf numFmtId="37" fontId="19" fillId="0" borderId="96" xfId="0" applyNumberFormat="1" applyFont="1" applyFill="1" applyBorder="1" applyAlignment="1" applyProtection="1">
      <alignment horizontal="center" vertical="center"/>
    </xf>
    <xf numFmtId="169" fontId="19" fillId="0" borderId="101" xfId="9" quotePrefix="1" applyNumberFormat="1" applyFont="1" applyFill="1" applyBorder="1" applyAlignment="1" applyProtection="1">
      <alignment horizontal="center" vertical="center"/>
    </xf>
    <xf numFmtId="169" fontId="19" fillId="0" borderId="102" xfId="9" quotePrefix="1" applyNumberFormat="1" applyFont="1" applyFill="1" applyBorder="1" applyAlignment="1" applyProtection="1">
      <alignment horizontal="center" vertical="center"/>
    </xf>
    <xf numFmtId="169" fontId="19" fillId="0" borderId="6" xfId="9" quotePrefix="1" applyNumberFormat="1" applyFont="1" applyFill="1" applyBorder="1" applyAlignment="1" applyProtection="1">
      <alignment horizontal="center" vertical="center"/>
    </xf>
    <xf numFmtId="169" fontId="19" fillId="0" borderId="97" xfId="9" quotePrefix="1" applyNumberFormat="1" applyFont="1" applyFill="1" applyBorder="1" applyAlignment="1" applyProtection="1">
      <alignment horizontal="center" vertical="center"/>
    </xf>
    <xf numFmtId="39" fontId="18" fillId="0" borderId="32" xfId="0" applyNumberFormat="1" applyFont="1" applyFill="1" applyBorder="1" applyAlignment="1" applyProtection="1">
      <alignment horizontal="center" vertical="center"/>
    </xf>
    <xf numFmtId="39" fontId="18" fillId="0" borderId="33" xfId="0" applyNumberFormat="1" applyFont="1" applyFill="1" applyBorder="1" applyAlignment="1" applyProtection="1">
      <alignment vertical="center"/>
    </xf>
    <xf numFmtId="39" fontId="18" fillId="0" borderId="33" xfId="0" applyNumberFormat="1" applyFont="1" applyFill="1" applyBorder="1" applyAlignment="1" applyProtection="1">
      <alignment horizontal="left" vertical="center"/>
    </xf>
    <xf numFmtId="39" fontId="16" fillId="0" borderId="33" xfId="0" applyNumberFormat="1" applyFont="1" applyFill="1" applyBorder="1" applyAlignment="1" applyProtection="1">
      <alignment horizontal="left" vertical="center"/>
    </xf>
    <xf numFmtId="169" fontId="16" fillId="0" borderId="59" xfId="9" applyNumberFormat="1" applyFont="1" applyFill="1" applyBorder="1" applyAlignment="1" applyProtection="1">
      <alignment horizontal="center" vertical="center"/>
    </xf>
    <xf numFmtId="169" fontId="16" fillId="0" borderId="61" xfId="9" applyNumberFormat="1" applyFont="1" applyFill="1" applyBorder="1" applyAlignment="1" applyProtection="1">
      <alignment vertical="center"/>
    </xf>
    <xf numFmtId="37" fontId="16" fillId="0" borderId="32" xfId="0" applyNumberFormat="1" applyFont="1" applyFill="1" applyBorder="1" applyAlignment="1" applyProtection="1">
      <alignment horizontal="center" vertical="center"/>
    </xf>
    <xf numFmtId="39" fontId="16" fillId="0" borderId="33" xfId="0" applyNumberFormat="1" applyFont="1" applyFill="1" applyBorder="1" applyAlignment="1" applyProtection="1">
      <alignment vertical="center"/>
    </xf>
    <xf numFmtId="169" fontId="16" fillId="0" borderId="47" xfId="9" applyNumberFormat="1" applyFont="1" applyFill="1" applyBorder="1" applyAlignment="1" applyProtection="1">
      <alignment vertical="center"/>
    </xf>
    <xf numFmtId="0" fontId="18" fillId="0" borderId="70" xfId="0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horizontal="center" vertical="center"/>
    </xf>
    <xf numFmtId="0" fontId="17" fillId="0" borderId="61" xfId="0" applyFont="1" applyFill="1" applyBorder="1" applyAlignment="1">
      <alignment horizontal="center" vertical="center"/>
    </xf>
    <xf numFmtId="169" fontId="17" fillId="0" borderId="52" xfId="9" applyNumberFormat="1" applyFont="1" applyFill="1" applyBorder="1" applyAlignment="1">
      <alignment vertical="center"/>
    </xf>
    <xf numFmtId="2" fontId="16" fillId="0" borderId="27" xfId="0" applyNumberFormat="1" applyFont="1" applyFill="1" applyBorder="1" applyAlignment="1">
      <alignment vertical="center"/>
    </xf>
    <xf numFmtId="164" fontId="16" fillId="0" borderId="0" xfId="0" applyNumberFormat="1" applyFont="1" applyFill="1" applyAlignment="1">
      <alignment vertical="center"/>
    </xf>
    <xf numFmtId="39" fontId="18" fillId="0" borderId="62" xfId="0" applyNumberFormat="1" applyFont="1" applyFill="1" applyBorder="1" applyAlignment="1" applyProtection="1">
      <alignment horizontal="center" vertical="center"/>
    </xf>
    <xf numFmtId="39" fontId="18" fillId="0" borderId="0" xfId="0" applyNumberFormat="1" applyFont="1" applyFill="1" applyBorder="1" applyAlignment="1" applyProtection="1">
      <alignment vertical="center"/>
    </xf>
    <xf numFmtId="39" fontId="18" fillId="0" borderId="0" xfId="0" applyNumberFormat="1" applyFont="1" applyFill="1" applyBorder="1" applyAlignment="1" applyProtection="1">
      <alignment horizontal="left" vertical="center"/>
    </xf>
    <xf numFmtId="169" fontId="16" fillId="0" borderId="28" xfId="9" applyNumberFormat="1" applyFont="1" applyFill="1" applyBorder="1" applyAlignment="1" applyProtection="1">
      <alignment horizontal="center" vertical="center"/>
    </xf>
    <xf numFmtId="169" fontId="16" fillId="0" borderId="5" xfId="9" applyNumberFormat="1" applyFont="1" applyFill="1" applyBorder="1" applyAlignment="1" applyProtection="1">
      <alignment vertical="center"/>
    </xf>
    <xf numFmtId="169" fontId="16" fillId="0" borderId="27" xfId="17" applyNumberFormat="1" applyFont="1" applyFill="1" applyBorder="1" applyAlignment="1">
      <alignment horizontal="right" vertical="center"/>
    </xf>
    <xf numFmtId="2" fontId="16" fillId="0" borderId="0" xfId="0" applyNumberFormat="1" applyFont="1" applyFill="1" applyBorder="1" applyAlignment="1">
      <alignment vertical="center"/>
    </xf>
    <xf numFmtId="169" fontId="16" fillId="0" borderId="0" xfId="0" applyNumberFormat="1" applyFont="1" applyFill="1" applyAlignment="1">
      <alignment vertical="center"/>
    </xf>
    <xf numFmtId="169" fontId="16" fillId="0" borderId="0" xfId="0" applyNumberFormat="1" applyFont="1" applyFill="1" applyAlignment="1">
      <alignment horizontal="center" vertical="center"/>
    </xf>
    <xf numFmtId="168" fontId="16" fillId="0" borderId="27" xfId="9" applyNumberFormat="1" applyFont="1" applyFill="1" applyBorder="1" applyAlignment="1" applyProtection="1">
      <alignment vertical="center"/>
    </xf>
    <xf numFmtId="168" fontId="16" fillId="0" borderId="93" xfId="9" applyNumberFormat="1" applyFont="1" applyFill="1" applyBorder="1" applyAlignment="1" applyProtection="1">
      <alignment vertical="center"/>
    </xf>
    <xf numFmtId="0" fontId="16" fillId="0" borderId="70" xfId="0" applyFont="1" applyFill="1" applyBorder="1" applyAlignment="1">
      <alignment horizontal="center" vertical="center"/>
    </xf>
    <xf numFmtId="0" fontId="16" fillId="0" borderId="71" xfId="0" applyFont="1" applyFill="1" applyBorder="1" applyAlignment="1">
      <alignment vertical="center"/>
    </xf>
    <xf numFmtId="169" fontId="16" fillId="0" borderId="93" xfId="17" applyNumberFormat="1" applyFont="1" applyFill="1" applyBorder="1" applyAlignment="1">
      <alignment horizontal="right" vertical="center"/>
    </xf>
    <xf numFmtId="169" fontId="16" fillId="0" borderId="91" xfId="9" applyNumberFormat="1" applyFont="1" applyFill="1" applyBorder="1" applyAlignment="1">
      <alignment horizontal="center" vertical="center"/>
    </xf>
    <xf numFmtId="39" fontId="16" fillId="0" borderId="92" xfId="0" applyNumberFormat="1" applyFont="1" applyFill="1" applyBorder="1" applyAlignment="1" applyProtection="1">
      <alignment vertical="center"/>
      <protection locked="0"/>
    </xf>
    <xf numFmtId="0" fontId="1" fillId="0" borderId="99" xfId="0" applyFont="1" applyFill="1" applyBorder="1" applyAlignment="1">
      <alignment vertical="center"/>
    </xf>
    <xf numFmtId="0" fontId="17" fillId="0" borderId="103" xfId="0" applyFont="1" applyFill="1" applyBorder="1" applyAlignment="1">
      <alignment horizontal="center" vertical="center"/>
    </xf>
    <xf numFmtId="169" fontId="17" fillId="0" borderId="40" xfId="9" applyNumberFormat="1" applyFont="1" applyFill="1" applyBorder="1" applyAlignment="1">
      <alignment vertical="center"/>
    </xf>
    <xf numFmtId="0" fontId="16" fillId="0" borderId="23" xfId="0" applyFont="1" applyFill="1" applyBorder="1" applyAlignment="1">
      <alignment horizontal="center" vertical="center"/>
    </xf>
    <xf numFmtId="169" fontId="17" fillId="0" borderId="23" xfId="9" applyNumberFormat="1" applyFont="1" applyFill="1" applyBorder="1" applyAlignment="1">
      <alignment vertical="center"/>
    </xf>
    <xf numFmtId="169" fontId="17" fillId="0" borderId="0" xfId="9" applyNumberFormat="1" applyFont="1" applyFill="1" applyBorder="1" applyAlignment="1">
      <alignment vertical="center"/>
    </xf>
    <xf numFmtId="39" fontId="18" fillId="0" borderId="86" xfId="0" applyNumberFormat="1" applyFont="1" applyFill="1" applyBorder="1" applyAlignment="1" applyProtection="1">
      <alignment horizontal="center" vertical="center"/>
    </xf>
    <xf numFmtId="39" fontId="18" fillId="0" borderId="87" xfId="0" applyNumberFormat="1" applyFont="1" applyFill="1" applyBorder="1" applyAlignment="1" applyProtection="1">
      <alignment vertical="center"/>
    </xf>
    <xf numFmtId="39" fontId="16" fillId="0" borderId="87" xfId="0" applyNumberFormat="1" applyFont="1" applyFill="1" applyBorder="1" applyAlignment="1" applyProtection="1">
      <alignment horizontal="left" vertical="center"/>
    </xf>
    <xf numFmtId="168" fontId="16" fillId="0" borderId="88" xfId="9" applyNumberFormat="1" applyFont="1" applyFill="1" applyBorder="1" applyAlignment="1" applyProtection="1">
      <alignment vertical="center"/>
    </xf>
    <xf numFmtId="169" fontId="16" fillId="0" borderId="89" xfId="9" applyNumberFormat="1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>
      <alignment vertical="center"/>
    </xf>
    <xf numFmtId="0" fontId="1" fillId="0" borderId="59" xfId="0" applyFont="1" applyFill="1" applyBorder="1" applyAlignment="1">
      <alignment vertical="center"/>
    </xf>
    <xf numFmtId="169" fontId="16" fillId="0" borderId="59" xfId="3" applyNumberFormat="1" applyFont="1" applyFill="1" applyBorder="1" applyAlignment="1">
      <alignment horizontal="center" vertical="center"/>
    </xf>
    <xf numFmtId="169" fontId="16" fillId="0" borderId="52" xfId="3" applyNumberFormat="1" applyFont="1" applyFill="1" applyBorder="1" applyAlignment="1" applyProtection="1">
      <alignment vertical="center"/>
    </xf>
    <xf numFmtId="39" fontId="16" fillId="0" borderId="59" xfId="0" applyNumberFormat="1" applyFont="1" applyFill="1" applyBorder="1" applyAlignment="1" applyProtection="1">
      <alignment horizontal="left" vertical="center"/>
    </xf>
    <xf numFmtId="168" fontId="1" fillId="0" borderId="58" xfId="2" applyNumberFormat="1" applyFont="1" applyFill="1" applyBorder="1" applyAlignment="1">
      <alignment horizontal="right" vertical="center"/>
    </xf>
    <xf numFmtId="0" fontId="1" fillId="0" borderId="71" xfId="0" applyFont="1" applyFill="1" applyBorder="1" applyAlignment="1">
      <alignment horizontal="left" vertical="center"/>
    </xf>
    <xf numFmtId="168" fontId="1" fillId="0" borderId="93" xfId="2" applyNumberFormat="1" applyFont="1" applyFill="1" applyBorder="1" applyAlignment="1">
      <alignment horizontal="right" vertical="center"/>
    </xf>
    <xf numFmtId="169" fontId="1" fillId="0" borderId="91" xfId="3" applyNumberFormat="1" applyFont="1" applyFill="1" applyBorder="1" applyAlignment="1">
      <alignment horizontal="center" vertical="center"/>
    </xf>
    <xf numFmtId="0" fontId="16" fillId="0" borderId="71" xfId="0" applyFont="1" applyFill="1" applyBorder="1" applyAlignment="1">
      <alignment horizontal="center" vertical="center"/>
    </xf>
    <xf numFmtId="169" fontId="16" fillId="0" borderId="93" xfId="2" applyNumberFormat="1" applyFont="1" applyFill="1" applyBorder="1" applyAlignment="1">
      <alignment horizontal="right" vertical="center"/>
    </xf>
    <xf numFmtId="0" fontId="16" fillId="0" borderId="58" xfId="0" applyFont="1" applyFill="1" applyBorder="1" applyAlignment="1">
      <alignment vertical="center"/>
    </xf>
    <xf numFmtId="0" fontId="16" fillId="0" borderId="59" xfId="0" applyFont="1" applyFill="1" applyBorder="1" applyAlignment="1">
      <alignment vertical="center"/>
    </xf>
    <xf numFmtId="169" fontId="16" fillId="0" borderId="33" xfId="9" applyNumberFormat="1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center" vertical="center"/>
    </xf>
    <xf numFmtId="168" fontId="16" fillId="0" borderId="58" xfId="9" applyNumberFormat="1" applyFont="1" applyFill="1" applyBorder="1" applyAlignment="1" applyProtection="1">
      <alignment vertical="center"/>
    </xf>
    <xf numFmtId="169" fontId="16" fillId="0" borderId="58" xfId="9" applyNumberFormat="1" applyFont="1" applyFill="1" applyBorder="1" applyAlignment="1" applyProtection="1">
      <alignment vertical="center"/>
    </xf>
    <xf numFmtId="39" fontId="18" fillId="0" borderId="87" xfId="0" applyNumberFormat="1" applyFont="1" applyFill="1" applyBorder="1" applyAlignment="1" applyProtection="1">
      <alignment horizontal="left" vertical="center"/>
    </xf>
    <xf numFmtId="0" fontId="1" fillId="0" borderId="73" xfId="0" applyFont="1" applyFill="1" applyBorder="1" applyAlignment="1">
      <alignment vertical="center"/>
    </xf>
    <xf numFmtId="169" fontId="16" fillId="0" borderId="0" xfId="9" applyNumberFormat="1" applyFont="1" applyFill="1" applyAlignment="1">
      <alignment vertical="center"/>
    </xf>
    <xf numFmtId="39" fontId="19" fillId="0" borderId="33" xfId="0" applyNumberFormat="1" applyFont="1" applyFill="1" applyBorder="1" applyAlignment="1" applyProtection="1">
      <alignment horizontal="left" vertical="center"/>
    </xf>
    <xf numFmtId="169" fontId="19" fillId="0" borderId="52" xfId="9" applyNumberFormat="1" applyFont="1" applyFill="1" applyBorder="1" applyAlignment="1" applyProtection="1">
      <alignment vertical="center"/>
    </xf>
    <xf numFmtId="0" fontId="1" fillId="6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1" fillId="6" borderId="0" xfId="0" applyFont="1" applyFill="1" applyAlignment="1">
      <alignment vertical="center"/>
    </xf>
    <xf numFmtId="169" fontId="1" fillId="6" borderId="52" xfId="9" applyNumberFormat="1" applyFont="1" applyFill="1" applyBorder="1" applyAlignment="1" applyProtection="1">
      <alignment vertical="center"/>
    </xf>
    <xf numFmtId="2" fontId="1" fillId="6" borderId="27" xfId="0" applyNumberFormat="1" applyFont="1" applyFill="1" applyBorder="1" applyAlignment="1">
      <alignment vertical="center"/>
    </xf>
    <xf numFmtId="0" fontId="1" fillId="6" borderId="32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vertical="center"/>
    </xf>
    <xf numFmtId="164" fontId="1" fillId="6" borderId="0" xfId="0" applyNumberFormat="1" applyFont="1" applyFill="1" applyAlignment="1">
      <alignment vertical="center"/>
    </xf>
    <xf numFmtId="39" fontId="16" fillId="0" borderId="38" xfId="0" applyNumberFormat="1" applyFont="1" applyFill="1" applyBorder="1" applyAlignment="1">
      <alignment vertical="center"/>
    </xf>
    <xf numFmtId="39" fontId="16" fillId="0" borderId="0" xfId="0" applyNumberFormat="1" applyFont="1" applyFill="1" applyBorder="1" applyAlignment="1">
      <alignment vertical="center"/>
    </xf>
    <xf numFmtId="0" fontId="17" fillId="0" borderId="122" xfId="0" applyFont="1" applyFill="1" applyBorder="1" applyAlignment="1">
      <alignment horizontal="center" vertical="center"/>
    </xf>
    <xf numFmtId="169" fontId="17" fillId="0" borderId="56" xfId="9" applyNumberFormat="1" applyFont="1" applyFill="1" applyBorder="1" applyAlignment="1">
      <alignment vertical="center"/>
    </xf>
    <xf numFmtId="168" fontId="16" fillId="0" borderId="0" xfId="9" applyNumberFormat="1" applyFont="1" applyFill="1" applyBorder="1" applyAlignment="1">
      <alignment vertical="center"/>
    </xf>
    <xf numFmtId="43" fontId="16" fillId="0" borderId="0" xfId="0" applyNumberFormat="1" applyFont="1" applyFill="1" applyAlignment="1">
      <alignment horizontal="center" vertical="center"/>
    </xf>
    <xf numFmtId="43" fontId="16" fillId="0" borderId="0" xfId="0" applyNumberFormat="1" applyFont="1" applyFill="1" applyAlignment="1">
      <alignment vertical="center"/>
    </xf>
    <xf numFmtId="0" fontId="16" fillId="0" borderId="73" xfId="0" applyFont="1" applyFill="1" applyBorder="1" applyAlignment="1">
      <alignment horizontal="center" vertical="center"/>
    </xf>
    <xf numFmtId="169" fontId="16" fillId="0" borderId="76" xfId="2" applyNumberFormat="1" applyFont="1" applyFill="1" applyBorder="1" applyAlignment="1">
      <alignment horizontal="right" vertical="center"/>
    </xf>
    <xf numFmtId="168" fontId="16" fillId="0" borderId="0" xfId="9" applyNumberFormat="1" applyFont="1" applyFill="1" applyAlignment="1">
      <alignment vertical="center"/>
    </xf>
    <xf numFmtId="169" fontId="16" fillId="0" borderId="76" xfId="18" applyNumberFormat="1" applyFont="1" applyFill="1" applyBorder="1" applyAlignment="1">
      <alignment horizontal="right" vertical="center"/>
    </xf>
    <xf numFmtId="169" fontId="1" fillId="6" borderId="33" xfId="9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3" fontId="19" fillId="0" borderId="0" xfId="0" applyNumberFormat="1" applyFont="1" applyFill="1" applyAlignment="1">
      <alignment vertical="center"/>
    </xf>
    <xf numFmtId="0" fontId="22" fillId="4" borderId="36" xfId="0" applyNumberFormat="1" applyFont="1" applyFill="1" applyBorder="1" applyAlignment="1" applyProtection="1">
      <alignment horizontal="center" vertical="center"/>
    </xf>
    <xf numFmtId="0" fontId="22" fillId="4" borderId="39" xfId="0" applyNumberFormat="1" applyFont="1" applyFill="1" applyBorder="1" applyAlignment="1" applyProtection="1">
      <alignment horizontal="center" vertical="center"/>
    </xf>
    <xf numFmtId="0" fontId="22" fillId="4" borderId="37" xfId="0" applyNumberFormat="1" applyFont="1" applyFill="1" applyBorder="1" applyAlignment="1" applyProtection="1">
      <alignment horizontal="center" vertical="center"/>
    </xf>
    <xf numFmtId="0" fontId="26" fillId="0" borderId="49" xfId="0" applyFont="1" applyFill="1" applyBorder="1" applyAlignment="1">
      <alignment horizontal="left" vertical="center" wrapText="1"/>
    </xf>
    <xf numFmtId="0" fontId="26" fillId="0" borderId="106" xfId="0" applyFont="1" applyFill="1" applyBorder="1" applyAlignment="1">
      <alignment horizontal="left" vertical="center" wrapText="1"/>
    </xf>
    <xf numFmtId="0" fontId="45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39" fontId="19" fillId="0" borderId="0" xfId="0" applyNumberFormat="1" applyFont="1" applyBorder="1" applyAlignment="1" applyProtection="1">
      <alignment horizontal="left" vertical="center" wrapText="1"/>
    </xf>
    <xf numFmtId="39" fontId="21" fillId="0" borderId="0" xfId="0" applyNumberFormat="1" applyFont="1" applyFill="1" applyBorder="1" applyAlignment="1" applyProtection="1">
      <alignment horizontal="left" vertical="center"/>
    </xf>
    <xf numFmtId="39" fontId="22" fillId="4" borderId="103" xfId="0" applyNumberFormat="1" applyFont="1" applyFill="1" applyBorder="1" applyAlignment="1" applyProtection="1">
      <alignment horizontal="center" vertical="center"/>
    </xf>
    <xf numFmtId="39" fontId="22" fillId="4" borderId="107" xfId="0" applyNumberFormat="1" applyFont="1" applyFill="1" applyBorder="1" applyAlignment="1" applyProtection="1">
      <alignment horizontal="center" vertical="center"/>
    </xf>
    <xf numFmtId="39" fontId="22" fillId="4" borderId="22" xfId="0" applyNumberFormat="1" applyFont="1" applyFill="1" applyBorder="1" applyAlignment="1" applyProtection="1">
      <alignment horizontal="center" vertical="center"/>
    </xf>
    <xf numFmtId="39" fontId="22" fillId="4" borderId="23" xfId="0" applyNumberFormat="1" applyFont="1" applyFill="1" applyBorder="1" applyAlignment="1" applyProtection="1">
      <alignment horizontal="center" vertical="center"/>
    </xf>
    <xf numFmtId="39" fontId="22" fillId="4" borderId="12" xfId="0" applyNumberFormat="1" applyFont="1" applyFill="1" applyBorder="1" applyAlignment="1" applyProtection="1">
      <alignment horizontal="center" vertical="center"/>
    </xf>
    <xf numFmtId="39" fontId="22" fillId="4" borderId="13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2" fontId="18" fillId="4" borderId="23" xfId="22" applyFont="1" applyFill="1" applyBorder="1" applyAlignment="1">
      <alignment horizontal="left" vertical="center"/>
    </xf>
    <xf numFmtId="42" fontId="18" fillId="4" borderId="31" xfId="22" applyFont="1" applyFill="1" applyBorder="1" applyAlignment="1">
      <alignment horizontal="left" vertical="center"/>
    </xf>
    <xf numFmtId="169" fontId="18" fillId="4" borderId="56" xfId="9" applyNumberFormat="1" applyFont="1" applyFill="1" applyBorder="1" applyAlignment="1">
      <alignment horizontal="center" vertical="center"/>
    </xf>
    <xf numFmtId="169" fontId="18" fillId="4" borderId="51" xfId="9" applyNumberFormat="1" applyFont="1" applyFill="1" applyBorder="1" applyAlignment="1">
      <alignment horizontal="center" vertical="center"/>
    </xf>
    <xf numFmtId="0" fontId="16" fillId="0" borderId="57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81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82" xfId="0" applyFont="1" applyFill="1" applyBorder="1" applyAlignment="1">
      <alignment horizontal="center" vertical="center"/>
    </xf>
    <xf numFmtId="39" fontId="18" fillId="0" borderId="103" xfId="0" applyNumberFormat="1" applyFont="1" applyFill="1" applyBorder="1" applyAlignment="1" applyProtection="1">
      <alignment horizontal="center" vertical="center"/>
    </xf>
    <xf numFmtId="39" fontId="18" fillId="0" borderId="107" xfId="0" applyNumberFormat="1" applyFont="1" applyFill="1" applyBorder="1" applyAlignment="1" applyProtection="1">
      <alignment horizontal="center" vertical="center"/>
    </xf>
    <xf numFmtId="37" fontId="19" fillId="0" borderId="101" xfId="0" applyNumberFormat="1" applyFont="1" applyFill="1" applyBorder="1" applyAlignment="1" applyProtection="1">
      <alignment horizontal="center" vertical="center"/>
    </xf>
    <xf numFmtId="37" fontId="19" fillId="0" borderId="108" xfId="0" applyNumberFormat="1" applyFont="1" applyFill="1" applyBorder="1" applyAlignment="1" applyProtection="1">
      <alignment horizontal="center" vertical="center"/>
    </xf>
    <xf numFmtId="37" fontId="19" fillId="0" borderId="102" xfId="0" applyNumberFormat="1" applyFont="1" applyFill="1" applyBorder="1" applyAlignment="1" applyProtection="1">
      <alignment horizontal="center" vertical="center"/>
    </xf>
    <xf numFmtId="39" fontId="18" fillId="0" borderId="22" xfId="0" applyNumberFormat="1" applyFont="1" applyFill="1" applyBorder="1" applyAlignment="1" applyProtection="1">
      <alignment horizontal="center" vertical="center"/>
    </xf>
    <xf numFmtId="39" fontId="18" fillId="0" borderId="23" xfId="0" applyNumberFormat="1" applyFont="1" applyFill="1" applyBorder="1" applyAlignment="1" applyProtection="1">
      <alignment horizontal="center" vertical="center"/>
    </xf>
    <xf numFmtId="39" fontId="18" fillId="0" borderId="24" xfId="0" applyNumberFormat="1" applyFont="1" applyFill="1" applyBorder="1" applyAlignment="1" applyProtection="1">
      <alignment horizontal="center" vertical="center"/>
    </xf>
    <xf numFmtId="39" fontId="18" fillId="0" borderId="12" xfId="0" applyNumberFormat="1" applyFont="1" applyFill="1" applyBorder="1" applyAlignment="1" applyProtection="1">
      <alignment horizontal="center" vertical="center"/>
    </xf>
    <xf numFmtId="39" fontId="18" fillId="0" borderId="13" xfId="0" applyNumberFormat="1" applyFont="1" applyFill="1" applyBorder="1" applyAlignment="1" applyProtection="1">
      <alignment horizontal="center" vertical="center"/>
    </xf>
    <xf numFmtId="39" fontId="18" fillId="0" borderId="14" xfId="0" applyNumberFormat="1" applyFont="1" applyFill="1" applyBorder="1" applyAlignment="1" applyProtection="1">
      <alignment horizontal="center" vertical="center"/>
    </xf>
    <xf numFmtId="169" fontId="18" fillId="0" borderId="22" xfId="9" applyNumberFormat="1" applyFont="1" applyFill="1" applyBorder="1" applyAlignment="1" applyProtection="1">
      <alignment horizontal="center" vertical="center"/>
    </xf>
    <xf numFmtId="169" fontId="18" fillId="0" borderId="24" xfId="9" applyNumberFormat="1" applyFont="1" applyFill="1" applyBorder="1" applyAlignment="1" applyProtection="1">
      <alignment horizontal="center" vertical="center"/>
    </xf>
    <xf numFmtId="169" fontId="18" fillId="0" borderId="12" xfId="9" applyNumberFormat="1" applyFont="1" applyFill="1" applyBorder="1" applyAlignment="1" applyProtection="1">
      <alignment horizontal="center" vertical="center"/>
    </xf>
    <xf numFmtId="169" fontId="18" fillId="0" borderId="14" xfId="9" applyNumberFormat="1" applyFont="1" applyFill="1" applyBorder="1" applyAlignment="1" applyProtection="1">
      <alignment horizontal="center" vertical="center"/>
    </xf>
    <xf numFmtId="0" fontId="35" fillId="9" borderId="109" xfId="35" applyFont="1" applyFill="1" applyBorder="1" applyAlignment="1">
      <alignment horizontal="right" vertical="center"/>
    </xf>
    <xf numFmtId="0" fontId="35" fillId="9" borderId="110" xfId="35" applyFont="1" applyFill="1" applyBorder="1" applyAlignment="1">
      <alignment horizontal="right" vertical="center"/>
    </xf>
    <xf numFmtId="0" fontId="35" fillId="9" borderId="111" xfId="35" applyFont="1" applyFill="1" applyBorder="1" applyAlignment="1">
      <alignment horizontal="right" vertical="center"/>
    </xf>
    <xf numFmtId="0" fontId="25" fillId="9" borderId="109" xfId="35" applyFont="1" applyFill="1" applyBorder="1" applyAlignment="1">
      <alignment horizontal="right" vertical="center"/>
    </xf>
    <xf numFmtId="0" fontId="25" fillId="9" borderId="110" xfId="35" applyFont="1" applyFill="1" applyBorder="1" applyAlignment="1">
      <alignment horizontal="right" vertical="center"/>
    </xf>
    <xf numFmtId="0" fontId="25" fillId="9" borderId="111" xfId="35" applyFont="1" applyFill="1" applyBorder="1" applyAlignment="1">
      <alignment horizontal="right" vertical="center"/>
    </xf>
    <xf numFmtId="0" fontId="35" fillId="7" borderId="40" xfId="1" applyFont="1" applyFill="1" applyBorder="1" applyAlignment="1">
      <alignment horizontal="center" vertical="center"/>
    </xf>
    <xf numFmtId="0" fontId="35" fillId="7" borderId="112" xfId="1" applyFont="1" applyFill="1" applyBorder="1" applyAlignment="1">
      <alignment horizontal="center" vertical="center"/>
    </xf>
    <xf numFmtId="0" fontId="35" fillId="7" borderId="23" xfId="35" applyFont="1" applyFill="1" applyBorder="1" applyAlignment="1">
      <alignment horizontal="center" vertical="center"/>
    </xf>
    <xf numFmtId="0" fontId="35" fillId="7" borderId="31" xfId="35" applyFont="1" applyFill="1" applyBorder="1" applyAlignment="1">
      <alignment horizontal="center" vertical="center"/>
    </xf>
    <xf numFmtId="0" fontId="35" fillId="7" borderId="25" xfId="35" applyFont="1" applyFill="1" applyBorder="1" applyAlignment="1">
      <alignment horizontal="right" vertical="center"/>
    </xf>
    <xf numFmtId="0" fontId="35" fillId="7" borderId="113" xfId="35" applyFont="1" applyFill="1" applyBorder="1" applyAlignment="1">
      <alignment horizontal="right" vertical="center"/>
    </xf>
    <xf numFmtId="0" fontId="35" fillId="7" borderId="24" xfId="35" applyFont="1" applyFill="1" applyBorder="1" applyAlignment="1">
      <alignment horizontal="center" vertical="center"/>
    </xf>
    <xf numFmtId="0" fontId="35" fillId="7" borderId="80" xfId="35" applyFont="1" applyFill="1" applyBorder="1" applyAlignment="1">
      <alignment horizontal="center" vertical="center"/>
    </xf>
    <xf numFmtId="0" fontId="39" fillId="10" borderId="104" xfId="35" applyFont="1" applyFill="1" applyBorder="1" applyAlignment="1">
      <alignment horizontal="center" vertical="center"/>
    </xf>
    <xf numFmtId="0" fontId="39" fillId="10" borderId="34" xfId="35" applyFont="1" applyFill="1" applyBorder="1" applyAlignment="1">
      <alignment horizontal="center" vertical="center"/>
    </xf>
    <xf numFmtId="0" fontId="39" fillId="10" borderId="35" xfId="35" applyFont="1" applyFill="1" applyBorder="1" applyAlignment="1">
      <alignment horizontal="center" vertical="center"/>
    </xf>
    <xf numFmtId="0" fontId="35" fillId="7" borderId="22" xfId="1" applyFont="1" applyFill="1" applyBorder="1" applyAlignment="1">
      <alignment horizontal="center" vertical="center"/>
    </xf>
    <xf numFmtId="0" fontId="35" fillId="7" borderId="114" xfId="1" applyFont="1" applyFill="1" applyBorder="1" applyAlignment="1">
      <alignment horizontal="center" vertical="center"/>
    </xf>
    <xf numFmtId="0" fontId="35" fillId="7" borderId="95" xfId="1" applyFont="1" applyFill="1" applyBorder="1" applyAlignment="1">
      <alignment horizontal="center" vertical="center"/>
    </xf>
    <xf numFmtId="0" fontId="35" fillId="7" borderId="23" xfId="1" applyFont="1" applyFill="1" applyBorder="1" applyAlignment="1">
      <alignment horizontal="center" vertical="center"/>
    </xf>
    <xf numFmtId="0" fontId="35" fillId="7" borderId="48" xfId="1" applyFont="1" applyFill="1" applyBorder="1" applyAlignment="1">
      <alignment horizontal="center" vertical="center"/>
    </xf>
    <xf numFmtId="0" fontId="35" fillId="7" borderId="31" xfId="1" applyFont="1" applyFill="1" applyBorder="1" applyAlignment="1">
      <alignment horizontal="center" vertical="center"/>
    </xf>
    <xf numFmtId="0" fontId="35" fillId="7" borderId="53" xfId="1" applyFont="1" applyFill="1" applyBorder="1" applyAlignment="1">
      <alignment horizontal="center"/>
    </xf>
    <xf numFmtId="0" fontId="35" fillId="7" borderId="54" xfId="1" applyFont="1" applyFill="1" applyBorder="1" applyAlignment="1">
      <alignment horizontal="center"/>
    </xf>
    <xf numFmtId="0" fontId="35" fillId="7" borderId="25" xfId="35" applyFont="1" applyFill="1" applyBorder="1" applyAlignment="1">
      <alignment horizontal="center" vertical="center"/>
    </xf>
    <xf numFmtId="0" fontId="35" fillId="7" borderId="113" xfId="35" applyFont="1" applyFill="1" applyBorder="1" applyAlignment="1">
      <alignment horizontal="center" vertical="center"/>
    </xf>
    <xf numFmtId="0" fontId="3" fillId="0" borderId="13" xfId="25" applyFont="1" applyBorder="1" applyAlignment="1">
      <alignment horizontal="center"/>
    </xf>
    <xf numFmtId="0" fontId="3" fillId="0" borderId="0" xfId="25" applyFont="1" applyBorder="1" applyAlignment="1">
      <alignment horizontal="center"/>
    </xf>
    <xf numFmtId="0" fontId="3" fillId="0" borderId="3" xfId="25" applyFont="1" applyBorder="1" applyAlignment="1">
      <alignment horizontal="center"/>
    </xf>
    <xf numFmtId="49" fontId="9" fillId="0" borderId="0" xfId="25" applyNumberFormat="1" applyFont="1" applyBorder="1" applyAlignment="1">
      <alignment horizontal="center"/>
    </xf>
    <xf numFmtId="0" fontId="3" fillId="0" borderId="0" xfId="25" applyFont="1" applyAlignment="1">
      <alignment horizontal="left"/>
    </xf>
    <xf numFmtId="0" fontId="8" fillId="0" borderId="27" xfId="25" applyFont="1" applyBorder="1" applyAlignment="1">
      <alignment horizontal="center"/>
    </xf>
    <xf numFmtId="0" fontId="8" fillId="0" borderId="0" xfId="25" applyFont="1" applyBorder="1" applyAlignment="1">
      <alignment horizontal="center"/>
    </xf>
    <xf numFmtId="0" fontId="8" fillId="0" borderId="28" xfId="25" applyFont="1" applyBorder="1" applyAlignment="1">
      <alignment horizontal="center"/>
    </xf>
    <xf numFmtId="0" fontId="10" fillId="0" borderId="115" xfId="25" applyFont="1" applyBorder="1" applyAlignment="1">
      <alignment horizontal="center"/>
    </xf>
    <xf numFmtId="0" fontId="10" fillId="0" borderId="34" xfId="25" applyFont="1" applyBorder="1" applyAlignment="1">
      <alignment horizontal="center"/>
    </xf>
    <xf numFmtId="0" fontId="10" fillId="0" borderId="105" xfId="25" applyFont="1" applyBorder="1" applyAlignment="1">
      <alignment horizontal="center"/>
    </xf>
    <xf numFmtId="0" fontId="47" fillId="0" borderId="18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7" fillId="0" borderId="19" xfId="0" applyFont="1" applyBorder="1" applyAlignment="1">
      <alignment horizontal="center"/>
    </xf>
    <xf numFmtId="39" fontId="29" fillId="0" borderId="0" xfId="0" applyNumberFormat="1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left" vertical="center" wrapText="1"/>
    </xf>
    <xf numFmtId="39" fontId="29" fillId="0" borderId="8" xfId="0" quotePrefix="1" applyNumberFormat="1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116" xfId="0" applyFont="1" applyBorder="1" applyAlignment="1">
      <alignment horizontal="left" vertical="center" wrapText="1"/>
    </xf>
    <xf numFmtId="0" fontId="30" fillId="0" borderId="117" xfId="0" applyFont="1" applyBorder="1" applyAlignment="1">
      <alignment horizontal="center" vertical="center"/>
    </xf>
    <xf numFmtId="0" fontId="30" fillId="0" borderId="118" xfId="0" applyFont="1" applyBorder="1" applyAlignment="1">
      <alignment horizontal="center" vertical="center"/>
    </xf>
    <xf numFmtId="0" fontId="30" fillId="0" borderId="11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65" fontId="30" fillId="0" borderId="120" xfId="0" applyNumberFormat="1" applyFont="1" applyBorder="1" applyAlignment="1">
      <alignment horizontal="center" vertical="center"/>
    </xf>
    <xf numFmtId="165" fontId="30" fillId="0" borderId="121" xfId="0" applyNumberFormat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68" fontId="16" fillId="0" borderId="3" xfId="9" applyNumberFormat="1" applyFont="1" applyFill="1" applyBorder="1" applyAlignment="1">
      <alignment vertical="center"/>
    </xf>
    <xf numFmtId="169" fontId="16" fillId="0" borderId="4" xfId="9" applyNumberFormat="1" applyFont="1" applyFill="1" applyBorder="1" applyAlignment="1">
      <alignment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169" fontId="16" fillId="0" borderId="72" xfId="9" applyNumberFormat="1" applyFont="1" applyFill="1" applyBorder="1" applyAlignment="1" applyProtection="1">
      <alignment vertical="center"/>
    </xf>
    <xf numFmtId="0" fontId="19" fillId="0" borderId="2" xfId="0" applyFont="1" applyFill="1" applyBorder="1" applyAlignment="1">
      <alignment horizontal="center" vertical="center"/>
    </xf>
    <xf numFmtId="169" fontId="19" fillId="0" borderId="4" xfId="9" applyNumberFormat="1" applyFont="1" applyFill="1" applyBorder="1" applyAlignment="1">
      <alignment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</cellXfs>
  <cellStyles count="37">
    <cellStyle name="20% - Accent4" xfId="1" builtinId="42"/>
    <cellStyle name="Comma" xfId="2" builtinId="3"/>
    <cellStyle name="Comma [0]" xfId="3" builtinId="6"/>
    <cellStyle name="Comma [0] 2" xfId="4"/>
    <cellStyle name="Comma [0] 2 2" xfId="5"/>
    <cellStyle name="Comma [0] 3" xfId="6"/>
    <cellStyle name="Comma [0] 4" xfId="7"/>
    <cellStyle name="Comma [0] 4 2" xfId="8"/>
    <cellStyle name="Comma [0] 5" xfId="9"/>
    <cellStyle name="Comma [0] 5 2" xfId="10"/>
    <cellStyle name="Comma [0] 6" xfId="11"/>
    <cellStyle name="Comma 2" xfId="12"/>
    <cellStyle name="Comma 2 2" xfId="13"/>
    <cellStyle name="Comma 3" xfId="14"/>
    <cellStyle name="Comma 4" xfId="15"/>
    <cellStyle name="Comma 4 2" xfId="16"/>
    <cellStyle name="Comma 5" xfId="17"/>
    <cellStyle name="Comma 5 2" xfId="18"/>
    <cellStyle name="Comma 6" xfId="19"/>
    <cellStyle name="Comma 7" xfId="20"/>
    <cellStyle name="Currency [0] 2" xfId="21"/>
    <cellStyle name="Currency [0] 3" xfId="22"/>
    <cellStyle name="Currency [0] 3 2" xfId="23"/>
    <cellStyle name="Normal" xfId="0" builtinId="0"/>
    <cellStyle name="Normal 2" xfId="24"/>
    <cellStyle name="Normal 2 2" xfId="25"/>
    <cellStyle name="Normal 3" xfId="26"/>
    <cellStyle name="Normal 4" xfId="27"/>
    <cellStyle name="Normal 4 2" xfId="28"/>
    <cellStyle name="Normal 5" xfId="29"/>
    <cellStyle name="Normal 6" xfId="30"/>
    <cellStyle name="Normal 7" xfId="31"/>
    <cellStyle name="Normal 7 2" xfId="32"/>
    <cellStyle name="Normal 8" xfId="33"/>
    <cellStyle name="Normal 8 2" xfId="34"/>
    <cellStyle name="Normal 9" xfId="35"/>
    <cellStyle name="Percent 2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AJAR\RAB%20STR%20%20gudang%20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FAJAR\2013\BULIAN\DATA%20PRODUK%20BULIAN%20TAHAB%20I%20TENDER\INDOOR%20BADMINTON\EE\EE%20BADMINTON%20TAHAP%201\RAB%20STR%20%20INDOOR%20BADMINTON%20%20FIX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KERJA\2015\WC%20DISPENDA\wc%20tahap%201\RAB.%20wc%20final%2014%20desemb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k\projek%202013\menara02\CCO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KERJA\2015\PENGAWASAN%20BULIAN\PROGRES%20PANGAN%20fajar\lap%20bps%20pdg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KERJA\2016\KANTOR%20BG%20DEDEK\TUNGKAL\Intake%20Air%20Baku%20Teb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KERJA\2014\BATANGHARI%202013\RAB%20batang%20hari\BELADIRI\RAB.%20BELADIRI%20batang%20har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k\projek%202014\rehab%20bides%20sarolangun\Rmh%20Bides%2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KERJA\2013\bg%20andre\GAMBAR%20DAN%20RAB\RAB%20Rumah%20din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KERJA\2015\PENGAWASAN%20BULIAN\PROGRES%20PANGAN%20fajar\1\EE%20BPKAD%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KERJA\2015\WORK%20SHOP%20SMK%203\RAB.%20workh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KERJA\2017\TUNGKAL%20ABT\RAB%20PIPA%20ABT%20PRINT\RAB%20%20IPA%20-%20Cop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k\proyek%202014\bpkad%20sengeti\RAB\EE%20BPKAD%2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KERJA\2015\WORK%20SHOP%20SMK%203\RAB\RAB.%20workh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TOTAL"/>
      <sheetName val="REKAP"/>
      <sheetName val="RAB "/>
      <sheetName val="POSISI ANALISA"/>
      <sheetName val="ANALISA SNI"/>
      <sheetName val="BAHAN Deka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0">
          <cell r="F140">
            <v>95000</v>
          </cell>
        </row>
      </sheetData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RAB "/>
      <sheetName val="POSISI ANALISA"/>
      <sheetName val="ANALISA SNI"/>
      <sheetName val="BAHAN Deka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3">
          <cell r="F13">
            <v>893395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"/>
      <sheetName val="REK"/>
      <sheetName val="RAB"/>
      <sheetName val="POSISI ANALISA"/>
      <sheetName val="ANALISA SNI"/>
      <sheetName val="BAHAN Dekat"/>
    </sheetNames>
    <sheetDataSet>
      <sheetData sheetId="0"/>
      <sheetData sheetId="1"/>
      <sheetData sheetId="2"/>
      <sheetData sheetId="3"/>
      <sheetData sheetId="4"/>
      <sheetData sheetId="5">
        <row r="85">
          <cell r="F85">
            <v>700000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G.1"/>
      <sheetName val="mG.1"/>
      <sheetName val="REmG.2"/>
      <sheetName val="mG.2"/>
      <sheetName val="mG.3"/>
      <sheetName val="mG.4"/>
      <sheetName val="mG.5"/>
      <sheetName val="mG.6"/>
      <sheetName val="mG.7"/>
      <sheetName val="mG.8"/>
      <sheetName val="mG.9"/>
      <sheetName val="mG.10"/>
      <sheetName val="mG.11"/>
      <sheetName val="mG.12"/>
      <sheetName val="mG.13"/>
      <sheetName val="mG.14"/>
      <sheetName val="mG.15"/>
      <sheetName val="mG.16"/>
    </sheetNames>
    <sheetDataSet>
      <sheetData sheetId="0">
        <row r="6">
          <cell r="G6" t="str">
            <v>Kegiatan</v>
          </cell>
        </row>
        <row r="7">
          <cell r="G7" t="str">
            <v>Pekerjaan</v>
          </cell>
        </row>
        <row r="8">
          <cell r="G8" t="str">
            <v>Nilai Kontrak</v>
          </cell>
        </row>
        <row r="9">
          <cell r="G9" t="str">
            <v>Nomor SP</v>
          </cell>
        </row>
        <row r="11">
          <cell r="G11" t="str">
            <v>Kontraktor Pelaksana</v>
          </cell>
        </row>
        <row r="12">
          <cell r="G12" t="str">
            <v>Konsultan Pengawas</v>
          </cell>
        </row>
        <row r="13">
          <cell r="G13" t="str">
            <v>Masa Pelaksanaan</v>
          </cell>
          <cell r="I13" t="str">
            <v>150 Hari Kalender</v>
          </cell>
        </row>
        <row r="14">
          <cell r="G14" t="str">
            <v>Masa Pemeliharaan</v>
          </cell>
          <cell r="I14" t="str">
            <v>180 Hari Kalender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G.1"/>
      <sheetName val="mG.1"/>
      <sheetName val="cco"/>
      <sheetName val="TS"/>
    </sheetNames>
    <sheetDataSet>
      <sheetData sheetId="0"/>
      <sheetData sheetId="1"/>
      <sheetData sheetId="2">
        <row r="8">
          <cell r="I8" t="str">
            <v>Rp.7.579.382.000,-</v>
          </cell>
        </row>
        <row r="9">
          <cell r="I9">
            <v>0</v>
          </cell>
        </row>
        <row r="11">
          <cell r="I11" t="str">
            <v>PT. TASYA TOTAL PERSADA</v>
          </cell>
        </row>
        <row r="12">
          <cell r="I12">
            <v>0</v>
          </cell>
        </row>
      </sheetData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KON"/>
      <sheetName val="METODE"/>
      <sheetName val="Daftar Kuantitas"/>
      <sheetName val="Schedule"/>
      <sheetName val="Daftar Upah"/>
      <sheetName val="Daftar Bahan"/>
      <sheetName val="Daftar Alat"/>
      <sheetName val="Pek. Persiapan"/>
      <sheetName val="Pek. Jembatan Intake"/>
      <sheetName val="Pek. Jembatan Pipa"/>
      <sheetName val="Pek. Pipa Transmisi"/>
      <sheetName val="Pek. Pompa"/>
      <sheetName val="Pek. Rumah Genset"/>
      <sheetName val="Ans Alat"/>
    </sheetNames>
    <sheetDataSet>
      <sheetData sheetId="0"/>
      <sheetData sheetId="1"/>
      <sheetData sheetId="2"/>
      <sheetData sheetId="3"/>
      <sheetData sheetId="4">
        <row r="16">
          <cell r="F16">
            <v>68000</v>
          </cell>
        </row>
        <row r="17">
          <cell r="F17">
            <v>63000</v>
          </cell>
        </row>
      </sheetData>
      <sheetData sheetId="5">
        <row r="11">
          <cell r="G11">
            <v>11000</v>
          </cell>
        </row>
        <row r="12">
          <cell r="G12">
            <v>25300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"/>
      <sheetName val="Cover RKS,EE &amp; OE"/>
      <sheetName val="REK-DISPORA"/>
      <sheetName val="RAB DISPORA"/>
      <sheetName val="POSISI ANALISA"/>
      <sheetName val="ANALISA SNI"/>
      <sheetName val="BAHAN Dekat"/>
      <sheetName val="Vol Kusen Kantor"/>
    </sheetNames>
    <sheetDataSet>
      <sheetData sheetId="0"/>
      <sheetData sheetId="1"/>
      <sheetData sheetId="2"/>
      <sheetData sheetId="3"/>
      <sheetData sheetId="4"/>
      <sheetData sheetId="5"/>
      <sheetData sheetId="6">
        <row r="79">
          <cell r="F79">
            <v>18500</v>
          </cell>
        </row>
        <row r="127">
          <cell r="F127">
            <v>30000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(2)"/>
      <sheetName val="RAB (2)"/>
      <sheetName val="ANALISA SNI"/>
      <sheetName val="BAHAN Dekat"/>
      <sheetName val="POSISI ANALISA"/>
      <sheetName val="Hitung Kuda2"/>
      <sheetName val="Kusen"/>
      <sheetName val="REKAP"/>
      <sheetName val="RAB"/>
      <sheetName val="Sheet1"/>
      <sheetName val="Cover RAB"/>
    </sheetNames>
    <sheetDataSet>
      <sheetData sheetId="0" refreshError="1"/>
      <sheetData sheetId="1" refreshError="1"/>
      <sheetData sheetId="2" refreshError="1"/>
      <sheetData sheetId="3" refreshError="1">
        <row r="6">
          <cell r="F6">
            <v>107900</v>
          </cell>
        </row>
        <row r="7">
          <cell r="F7">
            <v>101000</v>
          </cell>
        </row>
        <row r="8">
          <cell r="F8">
            <v>70100</v>
          </cell>
        </row>
        <row r="9">
          <cell r="F9">
            <v>90000</v>
          </cell>
        </row>
        <row r="14">
          <cell r="F14">
            <v>150000</v>
          </cell>
        </row>
        <row r="16">
          <cell r="F16">
            <v>1420</v>
          </cell>
        </row>
        <row r="22">
          <cell r="F22">
            <v>305500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A SNI"/>
      <sheetName val="BAHAN Dekat"/>
      <sheetName val="POSISI ANALISA"/>
      <sheetName val="REKAP "/>
      <sheetName val="RAB R. dinas"/>
    </sheetNames>
    <sheetDataSet>
      <sheetData sheetId="0"/>
      <sheetData sheetId="1">
        <row r="24">
          <cell r="F24">
            <v>300000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REKAP KTR"/>
      <sheetName val="RAB KTR"/>
      <sheetName val="REKAP Aula"/>
      <sheetName val="RAB Aula"/>
      <sheetName val="REKAP Pos"/>
      <sheetName val="RAB Pos"/>
      <sheetName val="REKAP Pgr"/>
      <sheetName val="RAB Pgr"/>
      <sheetName val="ANALISA SNI"/>
      <sheetName val="BAHAN Dekat"/>
      <sheetName val="POSISI ANALIS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9">
          <cell r="F19">
            <v>69000</v>
          </cell>
        </row>
        <row r="23">
          <cell r="F23">
            <v>350000</v>
          </cell>
        </row>
        <row r="63">
          <cell r="F63">
            <v>2000000</v>
          </cell>
        </row>
        <row r="74">
          <cell r="F74">
            <v>14200</v>
          </cell>
        </row>
        <row r="75">
          <cell r="F75">
            <v>18000</v>
          </cell>
        </row>
        <row r="79">
          <cell r="F79">
            <v>15000</v>
          </cell>
        </row>
        <row r="124">
          <cell r="F124">
            <v>8000</v>
          </cell>
        </row>
      </sheetData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-BENGKEL"/>
      <sheetName val="RAB BENGKEL"/>
      <sheetName val="POSISI ANALISA"/>
      <sheetName val="ANALISA SNI"/>
      <sheetName val="BAHAN Dekat"/>
      <sheetName val="Vol Kusen Kantor"/>
    </sheetNames>
    <sheetDataSet>
      <sheetData sheetId="0"/>
      <sheetData sheetId="1"/>
      <sheetData sheetId="2"/>
      <sheetData sheetId="3"/>
      <sheetData sheetId="4">
        <row r="80">
          <cell r="F80">
            <v>18400</v>
          </cell>
        </row>
        <row r="124">
          <cell r="F124">
            <v>6500</v>
          </cell>
        </row>
        <row r="125">
          <cell r="F125">
            <v>30000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RAB IPA"/>
      <sheetName val="ANALISA SNI."/>
      <sheetName val="BAHAN Dekat."/>
      <sheetName val="ANALISA SNI"/>
      <sheetName val="BAHAN Dek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2">
          <cell r="F42">
            <v>41000</v>
          </cell>
        </row>
        <row r="43">
          <cell r="F43">
            <v>45000</v>
          </cell>
        </row>
        <row r="61">
          <cell r="F61">
            <v>7000</v>
          </cell>
        </row>
        <row r="73">
          <cell r="F73">
            <v>14000</v>
          </cell>
        </row>
        <row r="83">
          <cell r="F83">
            <v>21000</v>
          </cell>
        </row>
        <row r="113">
          <cell r="F113">
            <v>27200</v>
          </cell>
        </row>
        <row r="120">
          <cell r="F120">
            <v>9500</v>
          </cell>
        </row>
        <row r="139">
          <cell r="F139">
            <v>5000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REKAP KTR"/>
      <sheetName val="RAB KTR"/>
      <sheetName val="REKAP Aula"/>
      <sheetName val="RAB Aula"/>
      <sheetName val="REKAP Pos"/>
      <sheetName val="RAB Pos"/>
      <sheetName val="REKAP Pgr"/>
      <sheetName val="RAB Pgr"/>
      <sheetName val="ANALISA SNI"/>
      <sheetName val="BAHAN Dekat"/>
      <sheetName val="POSISI ANALIS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2">
          <cell r="F62">
            <v>4000000</v>
          </cell>
        </row>
        <row r="68">
          <cell r="F68">
            <v>6000</v>
          </cell>
        </row>
        <row r="69">
          <cell r="F69">
            <v>155000</v>
          </cell>
        </row>
      </sheetData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-BENGKEL"/>
      <sheetName val="RAB BENGKEL"/>
      <sheetName val="POSISI ANALISA"/>
      <sheetName val="ANALISA SNI"/>
      <sheetName val="BAHAN Dekat"/>
      <sheetName val="Vol Kusen Kantor"/>
    </sheetNames>
    <sheetDataSet>
      <sheetData sheetId="0"/>
      <sheetData sheetId="1"/>
      <sheetData sheetId="2"/>
      <sheetData sheetId="3"/>
      <sheetData sheetId="4">
        <row r="125">
          <cell r="F125">
            <v>6500</v>
          </cell>
        </row>
        <row r="126">
          <cell r="F126">
            <v>30000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N511"/>
  <sheetViews>
    <sheetView showGridLines="0" view="pageBreakPreview" topLeftCell="B10" zoomScale="115" zoomScaleNormal="85" zoomScaleSheetLayoutView="115" workbookViewId="0">
      <selection activeCell="F20" sqref="F20:H20"/>
    </sheetView>
  </sheetViews>
  <sheetFormatPr defaultRowHeight="16.5" x14ac:dyDescent="0.2"/>
  <cols>
    <col min="1" max="1" width="4.5703125" style="118" customWidth="1"/>
    <col min="2" max="2" width="9.28515625" style="121" customWidth="1"/>
    <col min="3" max="3" width="1.140625" style="118" customWidth="1"/>
    <col min="4" max="4" width="20.85546875" style="118" customWidth="1"/>
    <col min="5" max="5" width="1.7109375" style="118" customWidth="1"/>
    <col min="6" max="6" width="37.85546875" style="118" customWidth="1"/>
    <col min="7" max="7" width="17.140625" style="117" customWidth="1"/>
    <col min="8" max="8" width="31.42578125" style="119" customWidth="1"/>
    <col min="9" max="9" width="7" style="326" customWidth="1"/>
    <col min="10" max="10" width="23.140625" style="119" customWidth="1"/>
    <col min="11" max="11" width="17.5703125" style="119" customWidth="1"/>
    <col min="12" max="12" width="17.85546875" style="118" customWidth="1"/>
    <col min="13" max="13" width="20.140625" style="143" bestFit="1" customWidth="1"/>
    <col min="14" max="14" width="10.85546875" style="248" bestFit="1" customWidth="1"/>
    <col min="15" max="16384" width="9.140625" style="118"/>
  </cols>
  <sheetData>
    <row r="3" spans="2:12" ht="21" x14ac:dyDescent="0.2">
      <c r="B3" s="476" t="s">
        <v>319</v>
      </c>
      <c r="C3" s="477"/>
      <c r="D3" s="477"/>
      <c r="E3" s="477"/>
      <c r="F3" s="477"/>
      <c r="G3" s="477"/>
      <c r="H3" s="478"/>
      <c r="J3" s="321"/>
      <c r="K3" s="321"/>
    </row>
    <row r="4" spans="2:12" ht="21" x14ac:dyDescent="0.2">
      <c r="B4" s="479" t="s">
        <v>17</v>
      </c>
      <c r="C4" s="480"/>
      <c r="D4" s="480"/>
      <c r="E4" s="480"/>
      <c r="F4" s="480"/>
      <c r="G4" s="480"/>
      <c r="H4" s="481"/>
      <c r="J4" s="321"/>
      <c r="K4" s="321"/>
    </row>
    <row r="5" spans="2:12" ht="18" customHeight="1" x14ac:dyDescent="0.2">
      <c r="B5" s="123"/>
      <c r="C5" s="123"/>
      <c r="D5" s="123"/>
      <c r="E5" s="123"/>
      <c r="F5" s="123"/>
      <c r="G5" s="123"/>
      <c r="H5" s="123"/>
      <c r="J5" s="123"/>
      <c r="K5" s="123"/>
    </row>
    <row r="6" spans="2:12" ht="18" customHeight="1" x14ac:dyDescent="0.2">
      <c r="B6" s="123"/>
      <c r="C6" s="107" t="s">
        <v>1</v>
      </c>
      <c r="D6" s="117"/>
      <c r="E6" s="113" t="s">
        <v>0</v>
      </c>
      <c r="F6" s="482" t="str">
        <f>GEDUNG!F6</f>
        <v>GEDUNG KANTOR PT. JASA RAHARJA (Persero) CABANG JAMBI</v>
      </c>
      <c r="G6" s="482"/>
      <c r="H6" s="482"/>
      <c r="J6" s="283"/>
      <c r="K6" s="283"/>
    </row>
    <row r="7" spans="2:12" ht="18" customHeight="1" x14ac:dyDescent="0.2">
      <c r="B7" s="124"/>
      <c r="C7" s="107" t="s">
        <v>2</v>
      </c>
      <c r="D7" s="117"/>
      <c r="E7" s="113" t="s">
        <v>0</v>
      </c>
      <c r="F7" s="483" t="str">
        <f>GEDUNG!F7</f>
        <v>Jl. Prof DR Sri Sudewi SH No. 19, Sungai Putri, Telanaipura, Kota Jambi, Jambi 36122</v>
      </c>
      <c r="G7" s="483"/>
      <c r="H7" s="483"/>
      <c r="J7" s="277"/>
      <c r="K7" s="277"/>
    </row>
    <row r="8" spans="2:12" ht="18" customHeight="1" x14ac:dyDescent="0.2">
      <c r="B8" s="124"/>
      <c r="C8" s="107" t="s">
        <v>3</v>
      </c>
      <c r="D8" s="117"/>
      <c r="E8" s="113" t="s">
        <v>0</v>
      </c>
      <c r="F8" s="277" t="str">
        <f>GEDUNG!F8</f>
        <v>2021</v>
      </c>
      <c r="H8" s="125"/>
      <c r="J8" s="125"/>
      <c r="K8" s="125"/>
    </row>
    <row r="9" spans="2:12" ht="18" customHeight="1" x14ac:dyDescent="0.2">
      <c r="B9" s="124"/>
      <c r="C9" s="107"/>
      <c r="D9" s="117"/>
      <c r="E9" s="113"/>
      <c r="F9" s="277"/>
      <c r="H9" s="125"/>
      <c r="J9" s="125"/>
      <c r="K9" s="125"/>
    </row>
    <row r="10" spans="2:12" ht="6.75" customHeight="1" thickBot="1" x14ac:dyDescent="0.25">
      <c r="B10" s="126"/>
      <c r="C10" s="127"/>
      <c r="D10" s="127"/>
      <c r="E10" s="127"/>
      <c r="F10" s="127"/>
      <c r="G10" s="113"/>
      <c r="H10" s="128"/>
      <c r="J10" s="128"/>
      <c r="K10" s="128"/>
    </row>
    <row r="11" spans="2:12" ht="18" customHeight="1" x14ac:dyDescent="0.2">
      <c r="B11" s="484" t="s">
        <v>5</v>
      </c>
      <c r="C11" s="486" t="s">
        <v>6</v>
      </c>
      <c r="D11" s="487"/>
      <c r="E11" s="487"/>
      <c r="F11" s="487"/>
      <c r="G11" s="303"/>
      <c r="H11" s="304" t="s">
        <v>7</v>
      </c>
      <c r="J11" s="322"/>
      <c r="K11" s="322"/>
    </row>
    <row r="12" spans="2:12" ht="18" customHeight="1" x14ac:dyDescent="0.2">
      <c r="B12" s="485"/>
      <c r="C12" s="488"/>
      <c r="D12" s="489"/>
      <c r="E12" s="489"/>
      <c r="F12" s="489"/>
      <c r="G12" s="305"/>
      <c r="H12" s="306" t="s">
        <v>8</v>
      </c>
      <c r="J12" s="322"/>
      <c r="K12" s="322"/>
    </row>
    <row r="13" spans="2:12" ht="20.100000000000001" customHeight="1" x14ac:dyDescent="0.2">
      <c r="B13" s="307">
        <v>1</v>
      </c>
      <c r="C13" s="469">
        <v>2</v>
      </c>
      <c r="D13" s="470"/>
      <c r="E13" s="470"/>
      <c r="F13" s="470"/>
      <c r="G13" s="471"/>
      <c r="H13" s="308">
        <v>3</v>
      </c>
      <c r="J13" s="323"/>
      <c r="K13" s="323"/>
    </row>
    <row r="14" spans="2:12" ht="20.100000000000001" customHeight="1" x14ac:dyDescent="0.2">
      <c r="B14" s="114" t="str">
        <f>GEDUNG!B13</f>
        <v>I</v>
      </c>
      <c r="C14" s="115"/>
      <c r="D14" s="116" t="s">
        <v>351</v>
      </c>
      <c r="E14" s="116"/>
      <c r="F14" s="116"/>
      <c r="G14" s="116"/>
      <c r="H14" s="129">
        <f>+'REKAP GEDUNG'!H31</f>
        <v>0</v>
      </c>
      <c r="I14" s="327"/>
      <c r="J14" s="125">
        <f>+'REKAP GEDUNG'!H28</f>
        <v>0</v>
      </c>
      <c r="K14" s="125"/>
      <c r="L14" s="281"/>
    </row>
    <row r="15" spans="2:12" ht="20.100000000000001" customHeight="1" x14ac:dyDescent="0.2">
      <c r="B15" s="114" t="str">
        <f>GEDUNG!B32</f>
        <v>II</v>
      </c>
      <c r="C15" s="115"/>
      <c r="D15" s="116" t="s">
        <v>331</v>
      </c>
      <c r="E15" s="116"/>
      <c r="F15" s="116"/>
      <c r="G15" s="116"/>
      <c r="H15" s="129" t="e">
        <f>+#REF!</f>
        <v>#REF!</v>
      </c>
      <c r="I15" s="327"/>
      <c r="J15" s="125" t="e">
        <f>+#REF!</f>
        <v>#REF!</v>
      </c>
      <c r="K15" s="125"/>
      <c r="L15" s="281"/>
    </row>
    <row r="16" spans="2:12" ht="20.100000000000001" customHeight="1" x14ac:dyDescent="0.2">
      <c r="B16" s="114" t="str">
        <f>GEDUNG!B39</f>
        <v>III</v>
      </c>
      <c r="C16" s="115"/>
      <c r="D16" s="116" t="s">
        <v>332</v>
      </c>
      <c r="E16" s="116"/>
      <c r="F16" s="116"/>
      <c r="G16" s="116"/>
      <c r="H16" s="129" t="e">
        <f>+#REF!</f>
        <v>#REF!</v>
      </c>
      <c r="J16" s="125" t="e">
        <f>+#REF!</f>
        <v>#REF!</v>
      </c>
      <c r="K16" s="125"/>
    </row>
    <row r="17" spans="1:14" ht="20.100000000000001" customHeight="1" x14ac:dyDescent="0.2">
      <c r="B17" s="114" t="s">
        <v>61</v>
      </c>
      <c r="C17" s="115"/>
      <c r="D17" s="116" t="s">
        <v>350</v>
      </c>
      <c r="E17" s="116"/>
      <c r="F17" s="116"/>
      <c r="G17" s="116"/>
      <c r="H17" s="129" t="e">
        <f>+#REF!</f>
        <v>#REF!</v>
      </c>
      <c r="J17" s="125" t="e">
        <f>+#REF!</f>
        <v>#REF!</v>
      </c>
      <c r="K17" s="125"/>
    </row>
    <row r="18" spans="1:14" s="248" customFormat="1" ht="20.100000000000001" customHeight="1" thickBot="1" x14ac:dyDescent="0.25">
      <c r="A18" s="118"/>
      <c r="B18" s="114"/>
      <c r="C18" s="115"/>
      <c r="D18" s="116"/>
      <c r="E18" s="116"/>
      <c r="F18" s="116"/>
      <c r="G18" s="116"/>
      <c r="H18" s="129"/>
      <c r="I18" s="326"/>
      <c r="J18" s="125"/>
      <c r="K18" s="125"/>
      <c r="L18" s="118"/>
      <c r="M18" s="143"/>
    </row>
    <row r="19" spans="1:14" s="248" customFormat="1" ht="21.2" customHeight="1" x14ac:dyDescent="0.2">
      <c r="A19" s="118"/>
      <c r="B19" s="315"/>
      <c r="C19" s="316"/>
      <c r="D19" s="316" t="s">
        <v>56</v>
      </c>
      <c r="E19" s="316"/>
      <c r="F19" s="316"/>
      <c r="G19" s="317"/>
      <c r="H19" s="318" t="e">
        <f>SUM(H14:H18)</f>
        <v>#REF!</v>
      </c>
      <c r="I19" s="326"/>
      <c r="J19" s="324" t="e">
        <f>SUM(J14:J18)</f>
        <v>#REF!</v>
      </c>
      <c r="K19" s="324"/>
      <c r="L19" s="118"/>
      <c r="M19" s="143"/>
    </row>
    <row r="20" spans="1:14" ht="50.25" customHeight="1" thickBot="1" x14ac:dyDescent="0.25">
      <c r="B20" s="319"/>
      <c r="C20" s="320"/>
      <c r="D20" s="320" t="s">
        <v>48</v>
      </c>
      <c r="E20" s="320" t="s">
        <v>0</v>
      </c>
      <c r="F20" s="472"/>
      <c r="G20" s="472"/>
      <c r="H20" s="473"/>
      <c r="J20" s="325"/>
      <c r="K20" s="325"/>
    </row>
    <row r="21" spans="1:14" ht="21.75" customHeight="1" x14ac:dyDescent="0.2">
      <c r="B21" s="117"/>
      <c r="C21" s="117"/>
      <c r="D21" s="120"/>
      <c r="E21" s="120"/>
      <c r="F21" s="278"/>
      <c r="G21" s="278"/>
      <c r="H21" s="278"/>
      <c r="J21" s="278"/>
      <c r="K21" s="278"/>
    </row>
    <row r="22" spans="1:14" s="144" customFormat="1" x14ac:dyDescent="0.2">
      <c r="B22" s="289"/>
      <c r="C22" s="289"/>
      <c r="D22" s="118"/>
      <c r="E22" s="118"/>
      <c r="F22" s="287"/>
      <c r="G22" s="288"/>
      <c r="H22" s="118"/>
      <c r="I22" s="328"/>
      <c r="J22" s="118"/>
      <c r="K22" s="118"/>
      <c r="M22" s="286"/>
      <c r="N22" s="280"/>
    </row>
    <row r="23" spans="1:14" s="144" customFormat="1" x14ac:dyDescent="0.2">
      <c r="B23" s="228"/>
      <c r="C23" s="228"/>
      <c r="D23" s="228"/>
      <c r="E23" s="228"/>
      <c r="F23" s="474"/>
      <c r="G23" s="474"/>
      <c r="H23" s="228"/>
      <c r="I23" s="328"/>
      <c r="J23" s="228"/>
      <c r="K23" s="228"/>
      <c r="M23" s="286"/>
      <c r="N23" s="280"/>
    </row>
    <row r="24" spans="1:14" s="144" customFormat="1" x14ac:dyDescent="0.2">
      <c r="B24" s="118"/>
      <c r="C24" s="118"/>
      <c r="D24" s="118"/>
      <c r="E24" s="118"/>
      <c r="F24" s="475"/>
      <c r="G24" s="475"/>
      <c r="H24" s="118"/>
      <c r="I24" s="328"/>
      <c r="J24" s="118"/>
      <c r="K24" s="118"/>
      <c r="M24" s="286"/>
      <c r="N24" s="280"/>
    </row>
    <row r="25" spans="1:14" x14ac:dyDescent="0.2">
      <c r="B25" s="118"/>
    </row>
    <row r="26" spans="1:14" x14ac:dyDescent="0.2">
      <c r="B26" s="118"/>
    </row>
    <row r="27" spans="1:14" x14ac:dyDescent="0.2">
      <c r="B27" s="118"/>
    </row>
    <row r="28" spans="1:14" x14ac:dyDescent="0.2">
      <c r="B28" s="118"/>
    </row>
    <row r="29" spans="1:14" x14ac:dyDescent="0.2">
      <c r="B29" s="118"/>
    </row>
    <row r="30" spans="1:14" x14ac:dyDescent="0.2">
      <c r="B30" s="118"/>
    </row>
    <row r="31" spans="1:14" x14ac:dyDescent="0.2">
      <c r="B31" s="118"/>
    </row>
    <row r="32" spans="1:14" x14ac:dyDescent="0.2">
      <c r="B32" s="118"/>
    </row>
    <row r="33" spans="2:2" x14ac:dyDescent="0.2">
      <c r="B33" s="118"/>
    </row>
    <row r="34" spans="2:2" x14ac:dyDescent="0.2">
      <c r="B34" s="118"/>
    </row>
    <row r="35" spans="2:2" x14ac:dyDescent="0.2">
      <c r="B35" s="118"/>
    </row>
    <row r="36" spans="2:2" x14ac:dyDescent="0.2">
      <c r="B36" s="118"/>
    </row>
    <row r="37" spans="2:2" x14ac:dyDescent="0.2">
      <c r="B37" s="118"/>
    </row>
    <row r="38" spans="2:2" x14ac:dyDescent="0.2">
      <c r="B38" s="118"/>
    </row>
    <row r="39" spans="2:2" x14ac:dyDescent="0.2">
      <c r="B39" s="118"/>
    </row>
    <row r="40" spans="2:2" x14ac:dyDescent="0.2">
      <c r="B40" s="118"/>
    </row>
    <row r="41" spans="2:2" x14ac:dyDescent="0.2">
      <c r="B41" s="118"/>
    </row>
    <row r="42" spans="2:2" x14ac:dyDescent="0.2">
      <c r="B42" s="118"/>
    </row>
    <row r="43" spans="2:2" x14ac:dyDescent="0.2">
      <c r="B43" s="118"/>
    </row>
    <row r="44" spans="2:2" x14ac:dyDescent="0.2">
      <c r="B44" s="118"/>
    </row>
    <row r="45" spans="2:2" x14ac:dyDescent="0.2">
      <c r="B45" s="118"/>
    </row>
    <row r="46" spans="2:2" x14ac:dyDescent="0.2">
      <c r="B46" s="118"/>
    </row>
    <row r="47" spans="2:2" x14ac:dyDescent="0.2">
      <c r="B47" s="118"/>
    </row>
    <row r="48" spans="2:2" x14ac:dyDescent="0.2">
      <c r="B48" s="118"/>
    </row>
    <row r="49" spans="2:2" x14ac:dyDescent="0.2">
      <c r="B49" s="118"/>
    </row>
    <row r="50" spans="2:2" x14ac:dyDescent="0.2">
      <c r="B50" s="118"/>
    </row>
    <row r="51" spans="2:2" x14ac:dyDescent="0.2">
      <c r="B51" s="118"/>
    </row>
    <row r="52" spans="2:2" x14ac:dyDescent="0.2">
      <c r="B52" s="118"/>
    </row>
    <row r="53" spans="2:2" x14ac:dyDescent="0.2">
      <c r="B53" s="118"/>
    </row>
    <row r="54" spans="2:2" x14ac:dyDescent="0.2">
      <c r="B54" s="118"/>
    </row>
    <row r="55" spans="2:2" x14ac:dyDescent="0.2">
      <c r="B55" s="118"/>
    </row>
    <row r="56" spans="2:2" x14ac:dyDescent="0.2">
      <c r="B56" s="118"/>
    </row>
    <row r="57" spans="2:2" x14ac:dyDescent="0.2">
      <c r="B57" s="118"/>
    </row>
    <row r="58" spans="2:2" x14ac:dyDescent="0.2">
      <c r="B58" s="118"/>
    </row>
    <row r="59" spans="2:2" x14ac:dyDescent="0.2">
      <c r="B59" s="118"/>
    </row>
    <row r="60" spans="2:2" x14ac:dyDescent="0.2">
      <c r="B60" s="118"/>
    </row>
    <row r="61" spans="2:2" x14ac:dyDescent="0.2">
      <c r="B61" s="118"/>
    </row>
    <row r="62" spans="2:2" x14ac:dyDescent="0.2">
      <c r="B62" s="118"/>
    </row>
    <row r="63" spans="2:2" x14ac:dyDescent="0.2">
      <c r="B63" s="118"/>
    </row>
    <row r="64" spans="2:2" x14ac:dyDescent="0.2">
      <c r="B64" s="118"/>
    </row>
    <row r="65" spans="2:2" x14ac:dyDescent="0.2">
      <c r="B65" s="118"/>
    </row>
    <row r="66" spans="2:2" x14ac:dyDescent="0.2">
      <c r="B66" s="118"/>
    </row>
    <row r="67" spans="2:2" x14ac:dyDescent="0.2">
      <c r="B67" s="118"/>
    </row>
    <row r="68" spans="2:2" x14ac:dyDescent="0.2">
      <c r="B68" s="118"/>
    </row>
    <row r="69" spans="2:2" x14ac:dyDescent="0.2">
      <c r="B69" s="118"/>
    </row>
    <row r="70" spans="2:2" x14ac:dyDescent="0.2">
      <c r="B70" s="118"/>
    </row>
    <row r="71" spans="2:2" x14ac:dyDescent="0.2">
      <c r="B71" s="118"/>
    </row>
    <row r="72" spans="2:2" x14ac:dyDescent="0.2">
      <c r="B72" s="118"/>
    </row>
    <row r="73" spans="2:2" x14ac:dyDescent="0.2">
      <c r="B73" s="118"/>
    </row>
    <row r="74" spans="2:2" x14ac:dyDescent="0.2">
      <c r="B74" s="118"/>
    </row>
    <row r="75" spans="2:2" x14ac:dyDescent="0.2">
      <c r="B75" s="118"/>
    </row>
    <row r="76" spans="2:2" x14ac:dyDescent="0.2">
      <c r="B76" s="118"/>
    </row>
    <row r="77" spans="2:2" x14ac:dyDescent="0.2">
      <c r="B77" s="118"/>
    </row>
    <row r="78" spans="2:2" x14ac:dyDescent="0.2">
      <c r="B78" s="118"/>
    </row>
    <row r="79" spans="2:2" x14ac:dyDescent="0.2">
      <c r="B79" s="118"/>
    </row>
    <row r="80" spans="2:2" x14ac:dyDescent="0.2">
      <c r="B80" s="118"/>
    </row>
    <row r="81" spans="2:2" x14ac:dyDescent="0.2">
      <c r="B81" s="118"/>
    </row>
    <row r="82" spans="2:2" x14ac:dyDescent="0.2">
      <c r="B82" s="118"/>
    </row>
    <row r="83" spans="2:2" x14ac:dyDescent="0.2">
      <c r="B83" s="118"/>
    </row>
    <row r="84" spans="2:2" x14ac:dyDescent="0.2">
      <c r="B84" s="118"/>
    </row>
    <row r="85" spans="2:2" x14ac:dyDescent="0.2">
      <c r="B85" s="118"/>
    </row>
    <row r="86" spans="2:2" x14ac:dyDescent="0.2">
      <c r="B86" s="118"/>
    </row>
    <row r="87" spans="2:2" x14ac:dyDescent="0.2">
      <c r="B87" s="118"/>
    </row>
    <row r="88" spans="2:2" x14ac:dyDescent="0.2">
      <c r="B88" s="118"/>
    </row>
    <row r="89" spans="2:2" x14ac:dyDescent="0.2">
      <c r="B89" s="118"/>
    </row>
    <row r="90" spans="2:2" x14ac:dyDescent="0.2">
      <c r="B90" s="118"/>
    </row>
    <row r="91" spans="2:2" x14ac:dyDescent="0.2">
      <c r="B91" s="118"/>
    </row>
    <row r="92" spans="2:2" x14ac:dyDescent="0.2">
      <c r="B92" s="118"/>
    </row>
    <row r="93" spans="2:2" x14ac:dyDescent="0.2">
      <c r="B93" s="118"/>
    </row>
    <row r="94" spans="2:2" x14ac:dyDescent="0.2">
      <c r="B94" s="118"/>
    </row>
    <row r="95" spans="2:2" x14ac:dyDescent="0.2">
      <c r="B95" s="118"/>
    </row>
    <row r="96" spans="2:2" x14ac:dyDescent="0.2">
      <c r="B96" s="118"/>
    </row>
    <row r="97" spans="2:2" x14ac:dyDescent="0.2">
      <c r="B97" s="118"/>
    </row>
    <row r="98" spans="2:2" x14ac:dyDescent="0.2">
      <c r="B98" s="118"/>
    </row>
    <row r="99" spans="2:2" x14ac:dyDescent="0.2">
      <c r="B99" s="118"/>
    </row>
    <row r="100" spans="2:2" x14ac:dyDescent="0.2">
      <c r="B100" s="118"/>
    </row>
    <row r="101" spans="2:2" x14ac:dyDescent="0.2">
      <c r="B101" s="118"/>
    </row>
    <row r="102" spans="2:2" x14ac:dyDescent="0.2">
      <c r="B102" s="118"/>
    </row>
    <row r="103" spans="2:2" x14ac:dyDescent="0.2">
      <c r="B103" s="118"/>
    </row>
    <row r="104" spans="2:2" x14ac:dyDescent="0.2">
      <c r="B104" s="118"/>
    </row>
    <row r="105" spans="2:2" x14ac:dyDescent="0.2">
      <c r="B105" s="118"/>
    </row>
    <row r="106" spans="2:2" x14ac:dyDescent="0.2">
      <c r="B106" s="118"/>
    </row>
    <row r="107" spans="2:2" x14ac:dyDescent="0.2">
      <c r="B107" s="118"/>
    </row>
    <row r="108" spans="2:2" x14ac:dyDescent="0.2">
      <c r="B108" s="118"/>
    </row>
    <row r="109" spans="2:2" x14ac:dyDescent="0.2">
      <c r="B109" s="118"/>
    </row>
    <row r="110" spans="2:2" x14ac:dyDescent="0.2">
      <c r="B110" s="118"/>
    </row>
    <row r="111" spans="2:2" x14ac:dyDescent="0.2">
      <c r="B111" s="118"/>
    </row>
    <row r="112" spans="2:2" x14ac:dyDescent="0.2">
      <c r="B112" s="118"/>
    </row>
    <row r="113" spans="2:2" x14ac:dyDescent="0.2">
      <c r="B113" s="118"/>
    </row>
    <row r="114" spans="2:2" x14ac:dyDescent="0.2">
      <c r="B114" s="118"/>
    </row>
    <row r="115" spans="2:2" x14ac:dyDescent="0.2">
      <c r="B115" s="118"/>
    </row>
    <row r="116" spans="2:2" x14ac:dyDescent="0.2">
      <c r="B116" s="118"/>
    </row>
    <row r="117" spans="2:2" x14ac:dyDescent="0.2">
      <c r="B117" s="118"/>
    </row>
    <row r="118" spans="2:2" x14ac:dyDescent="0.2">
      <c r="B118" s="118"/>
    </row>
    <row r="119" spans="2:2" x14ac:dyDescent="0.2">
      <c r="B119" s="118"/>
    </row>
    <row r="120" spans="2:2" x14ac:dyDescent="0.2">
      <c r="B120" s="118"/>
    </row>
    <row r="121" spans="2:2" x14ac:dyDescent="0.2">
      <c r="B121" s="118"/>
    </row>
    <row r="122" spans="2:2" x14ac:dyDescent="0.2">
      <c r="B122" s="118"/>
    </row>
    <row r="123" spans="2:2" x14ac:dyDescent="0.2">
      <c r="B123" s="118"/>
    </row>
    <row r="124" spans="2:2" x14ac:dyDescent="0.2">
      <c r="B124" s="118"/>
    </row>
    <row r="125" spans="2:2" x14ac:dyDescent="0.2">
      <c r="B125" s="118"/>
    </row>
    <row r="126" spans="2:2" x14ac:dyDescent="0.2">
      <c r="B126" s="118"/>
    </row>
    <row r="127" spans="2:2" x14ac:dyDescent="0.2">
      <c r="B127" s="118"/>
    </row>
    <row r="128" spans="2:2" x14ac:dyDescent="0.2">
      <c r="B128" s="118"/>
    </row>
    <row r="129" spans="2:2" x14ac:dyDescent="0.2">
      <c r="B129" s="118"/>
    </row>
    <row r="130" spans="2:2" x14ac:dyDescent="0.2">
      <c r="B130" s="118"/>
    </row>
    <row r="131" spans="2:2" x14ac:dyDescent="0.2">
      <c r="B131" s="118"/>
    </row>
    <row r="132" spans="2:2" x14ac:dyDescent="0.2">
      <c r="B132" s="118"/>
    </row>
    <row r="133" spans="2:2" x14ac:dyDescent="0.2">
      <c r="B133" s="118"/>
    </row>
    <row r="134" spans="2:2" x14ac:dyDescent="0.2">
      <c r="B134" s="118"/>
    </row>
    <row r="135" spans="2:2" x14ac:dyDescent="0.2">
      <c r="B135" s="118"/>
    </row>
    <row r="136" spans="2:2" x14ac:dyDescent="0.2">
      <c r="B136" s="118"/>
    </row>
    <row r="137" spans="2:2" x14ac:dyDescent="0.2">
      <c r="B137" s="118"/>
    </row>
    <row r="138" spans="2:2" x14ac:dyDescent="0.2">
      <c r="B138" s="118"/>
    </row>
    <row r="139" spans="2:2" x14ac:dyDescent="0.2">
      <c r="B139" s="118"/>
    </row>
    <row r="140" spans="2:2" x14ac:dyDescent="0.2">
      <c r="B140" s="118"/>
    </row>
    <row r="141" spans="2:2" x14ac:dyDescent="0.2">
      <c r="B141" s="118"/>
    </row>
    <row r="142" spans="2:2" x14ac:dyDescent="0.2">
      <c r="B142" s="118"/>
    </row>
    <row r="143" spans="2:2" x14ac:dyDescent="0.2">
      <c r="B143" s="118"/>
    </row>
    <row r="144" spans="2:2" x14ac:dyDescent="0.2">
      <c r="B144" s="118"/>
    </row>
    <row r="145" spans="2:2" x14ac:dyDescent="0.2">
      <c r="B145" s="118"/>
    </row>
    <row r="146" spans="2:2" x14ac:dyDescent="0.2">
      <c r="B146" s="118"/>
    </row>
    <row r="147" spans="2:2" x14ac:dyDescent="0.2">
      <c r="B147" s="118"/>
    </row>
    <row r="148" spans="2:2" x14ac:dyDescent="0.2">
      <c r="B148" s="118"/>
    </row>
    <row r="149" spans="2:2" x14ac:dyDescent="0.2">
      <c r="B149" s="118"/>
    </row>
    <row r="150" spans="2:2" x14ac:dyDescent="0.2">
      <c r="B150" s="118"/>
    </row>
    <row r="151" spans="2:2" x14ac:dyDescent="0.2">
      <c r="B151" s="118"/>
    </row>
    <row r="152" spans="2:2" x14ac:dyDescent="0.2">
      <c r="B152" s="118"/>
    </row>
    <row r="153" spans="2:2" x14ac:dyDescent="0.2">
      <c r="B153" s="118"/>
    </row>
    <row r="154" spans="2:2" x14ac:dyDescent="0.2">
      <c r="B154" s="118"/>
    </row>
    <row r="155" spans="2:2" x14ac:dyDescent="0.2">
      <c r="B155" s="118"/>
    </row>
    <row r="156" spans="2:2" x14ac:dyDescent="0.2">
      <c r="B156" s="118"/>
    </row>
    <row r="157" spans="2:2" x14ac:dyDescent="0.2">
      <c r="B157" s="118"/>
    </row>
    <row r="158" spans="2:2" x14ac:dyDescent="0.2">
      <c r="B158" s="118"/>
    </row>
    <row r="159" spans="2:2" x14ac:dyDescent="0.2">
      <c r="B159" s="118"/>
    </row>
    <row r="160" spans="2:2" x14ac:dyDescent="0.2">
      <c r="B160" s="118"/>
    </row>
    <row r="161" spans="2:2" x14ac:dyDescent="0.2">
      <c r="B161" s="118"/>
    </row>
    <row r="162" spans="2:2" x14ac:dyDescent="0.2">
      <c r="B162" s="118"/>
    </row>
    <row r="163" spans="2:2" x14ac:dyDescent="0.2">
      <c r="B163" s="118"/>
    </row>
    <row r="164" spans="2:2" x14ac:dyDescent="0.2">
      <c r="B164" s="118"/>
    </row>
    <row r="165" spans="2:2" x14ac:dyDescent="0.2">
      <c r="B165" s="118"/>
    </row>
    <row r="166" spans="2:2" x14ac:dyDescent="0.2">
      <c r="B166" s="118"/>
    </row>
    <row r="167" spans="2:2" x14ac:dyDescent="0.2">
      <c r="B167" s="118"/>
    </row>
    <row r="168" spans="2:2" x14ac:dyDescent="0.2">
      <c r="B168" s="118"/>
    </row>
    <row r="169" spans="2:2" x14ac:dyDescent="0.2">
      <c r="B169" s="118"/>
    </row>
    <row r="170" spans="2:2" x14ac:dyDescent="0.2">
      <c r="B170" s="118"/>
    </row>
    <row r="171" spans="2:2" x14ac:dyDescent="0.2">
      <c r="B171" s="118"/>
    </row>
    <row r="172" spans="2:2" x14ac:dyDescent="0.2">
      <c r="B172" s="118"/>
    </row>
    <row r="173" spans="2:2" x14ac:dyDescent="0.2">
      <c r="B173" s="118"/>
    </row>
    <row r="174" spans="2:2" x14ac:dyDescent="0.2">
      <c r="B174" s="118"/>
    </row>
    <row r="175" spans="2:2" x14ac:dyDescent="0.2">
      <c r="B175" s="118"/>
    </row>
    <row r="176" spans="2:2" x14ac:dyDescent="0.2">
      <c r="B176" s="118"/>
    </row>
    <row r="177" spans="2:2" x14ac:dyDescent="0.2">
      <c r="B177" s="118"/>
    </row>
    <row r="178" spans="2:2" x14ac:dyDescent="0.2">
      <c r="B178" s="118"/>
    </row>
    <row r="179" spans="2:2" x14ac:dyDescent="0.2">
      <c r="B179" s="118"/>
    </row>
    <row r="180" spans="2:2" x14ac:dyDescent="0.2">
      <c r="B180" s="118"/>
    </row>
    <row r="181" spans="2:2" x14ac:dyDescent="0.2">
      <c r="B181" s="118"/>
    </row>
    <row r="182" spans="2:2" x14ac:dyDescent="0.2">
      <c r="B182" s="118"/>
    </row>
    <row r="183" spans="2:2" x14ac:dyDescent="0.2">
      <c r="B183" s="118"/>
    </row>
    <row r="184" spans="2:2" x14ac:dyDescent="0.2">
      <c r="B184" s="118"/>
    </row>
    <row r="185" spans="2:2" x14ac:dyDescent="0.2">
      <c r="B185" s="118"/>
    </row>
    <row r="186" spans="2:2" x14ac:dyDescent="0.2">
      <c r="B186" s="118"/>
    </row>
    <row r="187" spans="2:2" x14ac:dyDescent="0.2">
      <c r="B187" s="118"/>
    </row>
    <row r="188" spans="2:2" x14ac:dyDescent="0.2">
      <c r="B188" s="118"/>
    </row>
    <row r="189" spans="2:2" x14ac:dyDescent="0.2">
      <c r="B189" s="118"/>
    </row>
    <row r="190" spans="2:2" x14ac:dyDescent="0.2">
      <c r="B190" s="118"/>
    </row>
    <row r="191" spans="2:2" x14ac:dyDescent="0.2">
      <c r="B191" s="118"/>
    </row>
    <row r="192" spans="2:2" x14ac:dyDescent="0.2">
      <c r="B192" s="118"/>
    </row>
    <row r="193" spans="2:2" x14ac:dyDescent="0.2">
      <c r="B193" s="118"/>
    </row>
    <row r="194" spans="2:2" x14ac:dyDescent="0.2">
      <c r="B194" s="118"/>
    </row>
    <row r="195" spans="2:2" x14ac:dyDescent="0.2">
      <c r="B195" s="118"/>
    </row>
    <row r="196" spans="2:2" x14ac:dyDescent="0.2">
      <c r="B196" s="118"/>
    </row>
    <row r="197" spans="2:2" x14ac:dyDescent="0.2">
      <c r="B197" s="118"/>
    </row>
    <row r="198" spans="2:2" x14ac:dyDescent="0.2">
      <c r="B198" s="118"/>
    </row>
    <row r="199" spans="2:2" x14ac:dyDescent="0.2">
      <c r="B199" s="118"/>
    </row>
    <row r="200" spans="2:2" x14ac:dyDescent="0.2">
      <c r="B200" s="118"/>
    </row>
    <row r="201" spans="2:2" x14ac:dyDescent="0.2">
      <c r="B201" s="118"/>
    </row>
    <row r="202" spans="2:2" x14ac:dyDescent="0.2">
      <c r="B202" s="118"/>
    </row>
    <row r="203" spans="2:2" x14ac:dyDescent="0.2">
      <c r="B203" s="118"/>
    </row>
    <row r="204" spans="2:2" x14ac:dyDescent="0.2">
      <c r="B204" s="118"/>
    </row>
    <row r="205" spans="2:2" x14ac:dyDescent="0.2">
      <c r="B205" s="118"/>
    </row>
    <row r="206" spans="2:2" x14ac:dyDescent="0.2">
      <c r="B206" s="118"/>
    </row>
    <row r="207" spans="2:2" x14ac:dyDescent="0.2">
      <c r="B207" s="118"/>
    </row>
    <row r="208" spans="2:2" x14ac:dyDescent="0.2">
      <c r="B208" s="118"/>
    </row>
    <row r="209" spans="2:2" x14ac:dyDescent="0.2">
      <c r="B209" s="118"/>
    </row>
    <row r="210" spans="2:2" x14ac:dyDescent="0.2">
      <c r="B210" s="118"/>
    </row>
    <row r="211" spans="2:2" x14ac:dyDescent="0.2">
      <c r="B211" s="118"/>
    </row>
    <row r="212" spans="2:2" x14ac:dyDescent="0.2">
      <c r="B212" s="118"/>
    </row>
    <row r="213" spans="2:2" x14ac:dyDescent="0.2">
      <c r="B213" s="118"/>
    </row>
    <row r="214" spans="2:2" x14ac:dyDescent="0.2">
      <c r="B214" s="118"/>
    </row>
    <row r="215" spans="2:2" x14ac:dyDescent="0.2">
      <c r="B215" s="118"/>
    </row>
    <row r="216" spans="2:2" x14ac:dyDescent="0.2">
      <c r="B216" s="118"/>
    </row>
    <row r="217" spans="2:2" x14ac:dyDescent="0.2">
      <c r="B217" s="118"/>
    </row>
    <row r="218" spans="2:2" x14ac:dyDescent="0.2">
      <c r="B218" s="118"/>
    </row>
    <row r="219" spans="2:2" x14ac:dyDescent="0.2">
      <c r="B219" s="118"/>
    </row>
    <row r="220" spans="2:2" x14ac:dyDescent="0.2">
      <c r="B220" s="118"/>
    </row>
    <row r="221" spans="2:2" x14ac:dyDescent="0.2">
      <c r="B221" s="118"/>
    </row>
    <row r="222" spans="2:2" x14ac:dyDescent="0.2">
      <c r="B222" s="118"/>
    </row>
    <row r="223" spans="2:2" x14ac:dyDescent="0.2">
      <c r="B223" s="118"/>
    </row>
    <row r="224" spans="2:2" x14ac:dyDescent="0.2">
      <c r="B224" s="118"/>
    </row>
    <row r="225" spans="2:2" x14ac:dyDescent="0.2">
      <c r="B225" s="118"/>
    </row>
    <row r="226" spans="2:2" x14ac:dyDescent="0.2">
      <c r="B226" s="118"/>
    </row>
    <row r="227" spans="2:2" x14ac:dyDescent="0.2">
      <c r="B227" s="118"/>
    </row>
    <row r="228" spans="2:2" x14ac:dyDescent="0.2">
      <c r="B228" s="118"/>
    </row>
    <row r="229" spans="2:2" x14ac:dyDescent="0.2">
      <c r="B229" s="118"/>
    </row>
    <row r="230" spans="2:2" x14ac:dyDescent="0.2">
      <c r="B230" s="118"/>
    </row>
    <row r="231" spans="2:2" x14ac:dyDescent="0.2">
      <c r="B231" s="118"/>
    </row>
    <row r="232" spans="2:2" x14ac:dyDescent="0.2">
      <c r="B232" s="118"/>
    </row>
    <row r="233" spans="2:2" x14ac:dyDescent="0.2">
      <c r="B233" s="118"/>
    </row>
    <row r="234" spans="2:2" x14ac:dyDescent="0.2">
      <c r="B234" s="118"/>
    </row>
    <row r="235" spans="2:2" x14ac:dyDescent="0.2">
      <c r="B235" s="118"/>
    </row>
    <row r="236" spans="2:2" x14ac:dyDescent="0.2">
      <c r="B236" s="118"/>
    </row>
    <row r="237" spans="2:2" x14ac:dyDescent="0.2">
      <c r="B237" s="118"/>
    </row>
    <row r="238" spans="2:2" x14ac:dyDescent="0.2">
      <c r="B238" s="118"/>
    </row>
    <row r="239" spans="2:2" x14ac:dyDescent="0.2">
      <c r="B239" s="118"/>
    </row>
    <row r="240" spans="2:2" x14ac:dyDescent="0.2">
      <c r="B240" s="118"/>
    </row>
    <row r="241" spans="2:2" x14ac:dyDescent="0.2">
      <c r="B241" s="118"/>
    </row>
    <row r="242" spans="2:2" x14ac:dyDescent="0.2">
      <c r="B242" s="118"/>
    </row>
    <row r="243" spans="2:2" x14ac:dyDescent="0.2">
      <c r="B243" s="118"/>
    </row>
    <row r="244" spans="2:2" x14ac:dyDescent="0.2">
      <c r="B244" s="118"/>
    </row>
    <row r="245" spans="2:2" x14ac:dyDescent="0.2">
      <c r="B245" s="118"/>
    </row>
    <row r="246" spans="2:2" x14ac:dyDescent="0.2">
      <c r="B246" s="118"/>
    </row>
    <row r="247" spans="2:2" x14ac:dyDescent="0.2">
      <c r="B247" s="118"/>
    </row>
    <row r="248" spans="2:2" x14ac:dyDescent="0.2">
      <c r="B248" s="118"/>
    </row>
    <row r="249" spans="2:2" x14ac:dyDescent="0.2">
      <c r="B249" s="118"/>
    </row>
    <row r="250" spans="2:2" x14ac:dyDescent="0.2">
      <c r="B250" s="118"/>
    </row>
    <row r="251" spans="2:2" x14ac:dyDescent="0.2">
      <c r="B251" s="118"/>
    </row>
    <row r="252" spans="2:2" x14ac:dyDescent="0.2">
      <c r="B252" s="118"/>
    </row>
    <row r="253" spans="2:2" x14ac:dyDescent="0.2">
      <c r="B253" s="118"/>
    </row>
    <row r="254" spans="2:2" x14ac:dyDescent="0.2">
      <c r="B254" s="118"/>
    </row>
    <row r="255" spans="2:2" x14ac:dyDescent="0.2">
      <c r="B255" s="118"/>
    </row>
    <row r="256" spans="2:2" x14ac:dyDescent="0.2">
      <c r="B256" s="118"/>
    </row>
    <row r="257" spans="2:2" x14ac:dyDescent="0.2">
      <c r="B257" s="118"/>
    </row>
    <row r="258" spans="2:2" x14ac:dyDescent="0.2">
      <c r="B258" s="118"/>
    </row>
    <row r="259" spans="2:2" x14ac:dyDescent="0.2">
      <c r="B259" s="118"/>
    </row>
    <row r="260" spans="2:2" x14ac:dyDescent="0.2">
      <c r="B260" s="118"/>
    </row>
    <row r="261" spans="2:2" x14ac:dyDescent="0.2">
      <c r="B261" s="118"/>
    </row>
    <row r="262" spans="2:2" x14ac:dyDescent="0.2">
      <c r="B262" s="118"/>
    </row>
    <row r="263" spans="2:2" x14ac:dyDescent="0.2">
      <c r="B263" s="118"/>
    </row>
    <row r="264" spans="2:2" x14ac:dyDescent="0.2">
      <c r="B264" s="118"/>
    </row>
    <row r="265" spans="2:2" x14ac:dyDescent="0.2">
      <c r="B265" s="118"/>
    </row>
    <row r="266" spans="2:2" x14ac:dyDescent="0.2">
      <c r="B266" s="118"/>
    </row>
    <row r="267" spans="2:2" x14ac:dyDescent="0.2">
      <c r="B267" s="118"/>
    </row>
    <row r="268" spans="2:2" x14ac:dyDescent="0.2">
      <c r="B268" s="118"/>
    </row>
    <row r="269" spans="2:2" x14ac:dyDescent="0.2">
      <c r="B269" s="118"/>
    </row>
    <row r="270" spans="2:2" x14ac:dyDescent="0.2">
      <c r="B270" s="118"/>
    </row>
    <row r="271" spans="2:2" x14ac:dyDescent="0.2">
      <c r="B271" s="118"/>
    </row>
    <row r="272" spans="2:2" x14ac:dyDescent="0.2">
      <c r="B272" s="118"/>
    </row>
    <row r="273" spans="2:2" x14ac:dyDescent="0.2">
      <c r="B273" s="118"/>
    </row>
    <row r="274" spans="2:2" x14ac:dyDescent="0.2">
      <c r="B274" s="118"/>
    </row>
    <row r="275" spans="2:2" x14ac:dyDescent="0.2">
      <c r="B275" s="118"/>
    </row>
    <row r="276" spans="2:2" x14ac:dyDescent="0.2">
      <c r="B276" s="118"/>
    </row>
    <row r="277" spans="2:2" x14ac:dyDescent="0.2">
      <c r="B277" s="118"/>
    </row>
    <row r="278" spans="2:2" x14ac:dyDescent="0.2">
      <c r="B278" s="118"/>
    </row>
    <row r="279" spans="2:2" x14ac:dyDescent="0.2">
      <c r="B279" s="118"/>
    </row>
    <row r="280" spans="2:2" x14ac:dyDescent="0.2">
      <c r="B280" s="118"/>
    </row>
    <row r="281" spans="2:2" x14ac:dyDescent="0.2">
      <c r="B281" s="118"/>
    </row>
    <row r="282" spans="2:2" x14ac:dyDescent="0.2">
      <c r="B282" s="118"/>
    </row>
    <row r="283" spans="2:2" x14ac:dyDescent="0.2">
      <c r="B283" s="118"/>
    </row>
    <row r="284" spans="2:2" x14ac:dyDescent="0.2">
      <c r="B284" s="118"/>
    </row>
    <row r="285" spans="2:2" x14ac:dyDescent="0.2">
      <c r="B285" s="118"/>
    </row>
    <row r="286" spans="2:2" x14ac:dyDescent="0.2">
      <c r="B286" s="118"/>
    </row>
    <row r="287" spans="2:2" x14ac:dyDescent="0.2">
      <c r="B287" s="118"/>
    </row>
    <row r="288" spans="2:2" x14ac:dyDescent="0.2">
      <c r="B288" s="118"/>
    </row>
    <row r="289" spans="2:2" x14ac:dyDescent="0.2">
      <c r="B289" s="118"/>
    </row>
    <row r="290" spans="2:2" x14ac:dyDescent="0.2">
      <c r="B290" s="118"/>
    </row>
    <row r="291" spans="2:2" x14ac:dyDescent="0.2">
      <c r="B291" s="118"/>
    </row>
    <row r="292" spans="2:2" x14ac:dyDescent="0.2">
      <c r="B292" s="118"/>
    </row>
    <row r="293" spans="2:2" x14ac:dyDescent="0.2">
      <c r="B293" s="118"/>
    </row>
    <row r="294" spans="2:2" x14ac:dyDescent="0.2">
      <c r="B294" s="118"/>
    </row>
    <row r="295" spans="2:2" x14ac:dyDescent="0.2">
      <c r="B295" s="118"/>
    </row>
    <row r="296" spans="2:2" x14ac:dyDescent="0.2">
      <c r="B296" s="118"/>
    </row>
    <row r="297" spans="2:2" x14ac:dyDescent="0.2">
      <c r="B297" s="118"/>
    </row>
    <row r="298" spans="2:2" x14ac:dyDescent="0.2">
      <c r="B298" s="118"/>
    </row>
    <row r="299" spans="2:2" x14ac:dyDescent="0.2">
      <c r="B299" s="118"/>
    </row>
    <row r="300" spans="2:2" x14ac:dyDescent="0.2">
      <c r="B300" s="118"/>
    </row>
    <row r="301" spans="2:2" x14ac:dyDescent="0.2">
      <c r="B301" s="118"/>
    </row>
    <row r="302" spans="2:2" x14ac:dyDescent="0.2">
      <c r="B302" s="118"/>
    </row>
    <row r="303" spans="2:2" x14ac:dyDescent="0.2">
      <c r="B303" s="118"/>
    </row>
    <row r="304" spans="2:2" x14ac:dyDescent="0.2">
      <c r="B304" s="118"/>
    </row>
    <row r="305" spans="2:2" x14ac:dyDescent="0.2">
      <c r="B305" s="118"/>
    </row>
    <row r="306" spans="2:2" x14ac:dyDescent="0.2">
      <c r="B306" s="118"/>
    </row>
    <row r="307" spans="2:2" x14ac:dyDescent="0.2">
      <c r="B307" s="118"/>
    </row>
    <row r="308" spans="2:2" x14ac:dyDescent="0.2">
      <c r="B308" s="118"/>
    </row>
    <row r="309" spans="2:2" x14ac:dyDescent="0.2">
      <c r="B309" s="118"/>
    </row>
    <row r="310" spans="2:2" x14ac:dyDescent="0.2">
      <c r="B310" s="118"/>
    </row>
    <row r="311" spans="2:2" x14ac:dyDescent="0.2">
      <c r="B311" s="118"/>
    </row>
    <row r="312" spans="2:2" x14ac:dyDescent="0.2">
      <c r="B312" s="118"/>
    </row>
    <row r="313" spans="2:2" x14ac:dyDescent="0.2">
      <c r="B313" s="118"/>
    </row>
    <row r="314" spans="2:2" x14ac:dyDescent="0.2">
      <c r="B314" s="118"/>
    </row>
    <row r="315" spans="2:2" x14ac:dyDescent="0.2">
      <c r="B315" s="118"/>
    </row>
    <row r="316" spans="2:2" x14ac:dyDescent="0.2">
      <c r="B316" s="118"/>
    </row>
    <row r="317" spans="2:2" x14ac:dyDescent="0.2">
      <c r="B317" s="118"/>
    </row>
    <row r="318" spans="2:2" x14ac:dyDescent="0.2">
      <c r="B318" s="118"/>
    </row>
    <row r="319" spans="2:2" x14ac:dyDescent="0.2">
      <c r="B319" s="118"/>
    </row>
    <row r="320" spans="2:2" x14ac:dyDescent="0.2">
      <c r="B320" s="118"/>
    </row>
    <row r="321" spans="2:2" x14ac:dyDescent="0.2">
      <c r="B321" s="118"/>
    </row>
    <row r="322" spans="2:2" x14ac:dyDescent="0.2">
      <c r="B322" s="118"/>
    </row>
    <row r="323" spans="2:2" x14ac:dyDescent="0.2">
      <c r="B323" s="118"/>
    </row>
    <row r="324" spans="2:2" x14ac:dyDescent="0.2">
      <c r="B324" s="118"/>
    </row>
    <row r="325" spans="2:2" x14ac:dyDescent="0.2">
      <c r="B325" s="118"/>
    </row>
    <row r="326" spans="2:2" x14ac:dyDescent="0.2">
      <c r="B326" s="118"/>
    </row>
    <row r="327" spans="2:2" x14ac:dyDescent="0.2">
      <c r="B327" s="118"/>
    </row>
    <row r="328" spans="2:2" x14ac:dyDescent="0.2">
      <c r="B328" s="118"/>
    </row>
    <row r="329" spans="2:2" x14ac:dyDescent="0.2">
      <c r="B329" s="118"/>
    </row>
    <row r="330" spans="2:2" x14ac:dyDescent="0.2">
      <c r="B330" s="118"/>
    </row>
    <row r="331" spans="2:2" x14ac:dyDescent="0.2">
      <c r="B331" s="118"/>
    </row>
    <row r="332" spans="2:2" x14ac:dyDescent="0.2">
      <c r="B332" s="118"/>
    </row>
    <row r="333" spans="2:2" x14ac:dyDescent="0.2">
      <c r="B333" s="118"/>
    </row>
    <row r="334" spans="2:2" x14ac:dyDescent="0.2">
      <c r="B334" s="118"/>
    </row>
    <row r="335" spans="2:2" x14ac:dyDescent="0.2">
      <c r="B335" s="118"/>
    </row>
    <row r="336" spans="2:2" x14ac:dyDescent="0.2">
      <c r="B336" s="118"/>
    </row>
    <row r="337" spans="2:2" x14ac:dyDescent="0.2">
      <c r="B337" s="118"/>
    </row>
    <row r="338" spans="2:2" x14ac:dyDescent="0.2">
      <c r="B338" s="118"/>
    </row>
    <row r="339" spans="2:2" x14ac:dyDescent="0.2">
      <c r="B339" s="118"/>
    </row>
    <row r="340" spans="2:2" x14ac:dyDescent="0.2">
      <c r="B340" s="118"/>
    </row>
    <row r="341" spans="2:2" x14ac:dyDescent="0.2">
      <c r="B341" s="118"/>
    </row>
    <row r="342" spans="2:2" x14ac:dyDescent="0.2">
      <c r="B342" s="118"/>
    </row>
    <row r="343" spans="2:2" x14ac:dyDescent="0.2">
      <c r="B343" s="118"/>
    </row>
    <row r="344" spans="2:2" x14ac:dyDescent="0.2">
      <c r="B344" s="118"/>
    </row>
    <row r="345" spans="2:2" x14ac:dyDescent="0.2">
      <c r="B345" s="118"/>
    </row>
    <row r="346" spans="2:2" x14ac:dyDescent="0.2">
      <c r="B346" s="118"/>
    </row>
    <row r="347" spans="2:2" x14ac:dyDescent="0.2">
      <c r="B347" s="118"/>
    </row>
    <row r="348" spans="2:2" x14ac:dyDescent="0.2">
      <c r="B348" s="118"/>
    </row>
    <row r="349" spans="2:2" x14ac:dyDescent="0.2">
      <c r="B349" s="118"/>
    </row>
    <row r="350" spans="2:2" x14ac:dyDescent="0.2">
      <c r="B350" s="118"/>
    </row>
    <row r="351" spans="2:2" x14ac:dyDescent="0.2">
      <c r="B351" s="118"/>
    </row>
    <row r="352" spans="2:2" x14ac:dyDescent="0.2">
      <c r="B352" s="118"/>
    </row>
    <row r="353" spans="2:2" x14ac:dyDescent="0.2">
      <c r="B353" s="118"/>
    </row>
    <row r="354" spans="2:2" x14ac:dyDescent="0.2">
      <c r="B354" s="118"/>
    </row>
    <row r="355" spans="2:2" x14ac:dyDescent="0.2">
      <c r="B355" s="118"/>
    </row>
    <row r="356" spans="2:2" x14ac:dyDescent="0.2">
      <c r="B356" s="118"/>
    </row>
    <row r="357" spans="2:2" x14ac:dyDescent="0.2">
      <c r="B357" s="118"/>
    </row>
    <row r="358" spans="2:2" x14ac:dyDescent="0.2">
      <c r="B358" s="118"/>
    </row>
    <row r="359" spans="2:2" x14ac:dyDescent="0.2">
      <c r="B359" s="118"/>
    </row>
    <row r="360" spans="2:2" x14ac:dyDescent="0.2">
      <c r="B360" s="118"/>
    </row>
    <row r="361" spans="2:2" x14ac:dyDescent="0.2">
      <c r="B361" s="118"/>
    </row>
    <row r="362" spans="2:2" x14ac:dyDescent="0.2">
      <c r="B362" s="118"/>
    </row>
    <row r="363" spans="2:2" x14ac:dyDescent="0.2">
      <c r="B363" s="118"/>
    </row>
    <row r="364" spans="2:2" x14ac:dyDescent="0.2">
      <c r="B364" s="118"/>
    </row>
    <row r="365" spans="2:2" x14ac:dyDescent="0.2">
      <c r="B365" s="118"/>
    </row>
    <row r="366" spans="2:2" x14ac:dyDescent="0.2">
      <c r="B366" s="118"/>
    </row>
    <row r="367" spans="2:2" x14ac:dyDescent="0.2">
      <c r="B367" s="118"/>
    </row>
    <row r="368" spans="2:2" x14ac:dyDescent="0.2">
      <c r="B368" s="118"/>
    </row>
    <row r="369" spans="2:2" x14ac:dyDescent="0.2">
      <c r="B369" s="118"/>
    </row>
    <row r="370" spans="2:2" x14ac:dyDescent="0.2">
      <c r="B370" s="118"/>
    </row>
    <row r="371" spans="2:2" x14ac:dyDescent="0.2">
      <c r="B371" s="118"/>
    </row>
    <row r="372" spans="2:2" x14ac:dyDescent="0.2">
      <c r="B372" s="118"/>
    </row>
    <row r="373" spans="2:2" x14ac:dyDescent="0.2">
      <c r="B373" s="118"/>
    </row>
    <row r="374" spans="2:2" x14ac:dyDescent="0.2">
      <c r="B374" s="118"/>
    </row>
    <row r="375" spans="2:2" x14ac:dyDescent="0.2">
      <c r="B375" s="118"/>
    </row>
    <row r="376" spans="2:2" x14ac:dyDescent="0.2">
      <c r="B376" s="118"/>
    </row>
    <row r="377" spans="2:2" x14ac:dyDescent="0.2">
      <c r="B377" s="118"/>
    </row>
    <row r="378" spans="2:2" x14ac:dyDescent="0.2">
      <c r="B378" s="118"/>
    </row>
    <row r="379" spans="2:2" x14ac:dyDescent="0.2">
      <c r="B379" s="118"/>
    </row>
    <row r="380" spans="2:2" x14ac:dyDescent="0.2">
      <c r="B380" s="118"/>
    </row>
    <row r="381" spans="2:2" x14ac:dyDescent="0.2">
      <c r="B381" s="118"/>
    </row>
    <row r="382" spans="2:2" x14ac:dyDescent="0.2">
      <c r="B382" s="118"/>
    </row>
    <row r="383" spans="2:2" x14ac:dyDescent="0.2">
      <c r="B383" s="118"/>
    </row>
    <row r="384" spans="2:2" x14ac:dyDescent="0.2">
      <c r="B384" s="118"/>
    </row>
    <row r="385" spans="2:2" x14ac:dyDescent="0.2">
      <c r="B385" s="118"/>
    </row>
    <row r="386" spans="2:2" x14ac:dyDescent="0.2">
      <c r="B386" s="118"/>
    </row>
    <row r="387" spans="2:2" x14ac:dyDescent="0.2">
      <c r="B387" s="118"/>
    </row>
    <row r="388" spans="2:2" x14ac:dyDescent="0.2">
      <c r="B388" s="118"/>
    </row>
    <row r="389" spans="2:2" x14ac:dyDescent="0.2">
      <c r="B389" s="118"/>
    </row>
    <row r="390" spans="2:2" x14ac:dyDescent="0.2">
      <c r="B390" s="118"/>
    </row>
    <row r="391" spans="2:2" x14ac:dyDescent="0.2">
      <c r="B391" s="118"/>
    </row>
    <row r="392" spans="2:2" x14ac:dyDescent="0.2">
      <c r="B392" s="118"/>
    </row>
    <row r="393" spans="2:2" x14ac:dyDescent="0.2">
      <c r="B393" s="118"/>
    </row>
    <row r="394" spans="2:2" x14ac:dyDescent="0.2">
      <c r="B394" s="118"/>
    </row>
    <row r="395" spans="2:2" x14ac:dyDescent="0.2">
      <c r="B395" s="118"/>
    </row>
    <row r="396" spans="2:2" x14ac:dyDescent="0.2">
      <c r="B396" s="118"/>
    </row>
    <row r="397" spans="2:2" x14ac:dyDescent="0.2">
      <c r="B397" s="118"/>
    </row>
    <row r="398" spans="2:2" x14ac:dyDescent="0.2">
      <c r="B398" s="118"/>
    </row>
    <row r="399" spans="2:2" x14ac:dyDescent="0.2">
      <c r="B399" s="118"/>
    </row>
    <row r="400" spans="2:2" x14ac:dyDescent="0.2">
      <c r="B400" s="118"/>
    </row>
    <row r="401" spans="2:2" x14ac:dyDescent="0.2">
      <c r="B401" s="118"/>
    </row>
    <row r="402" spans="2:2" x14ac:dyDescent="0.2">
      <c r="B402" s="118"/>
    </row>
    <row r="403" spans="2:2" x14ac:dyDescent="0.2">
      <c r="B403" s="118"/>
    </row>
    <row r="404" spans="2:2" x14ac:dyDescent="0.2">
      <c r="B404" s="118"/>
    </row>
    <row r="405" spans="2:2" x14ac:dyDescent="0.2">
      <c r="B405" s="118"/>
    </row>
    <row r="406" spans="2:2" x14ac:dyDescent="0.2">
      <c r="B406" s="118"/>
    </row>
    <row r="407" spans="2:2" x14ac:dyDescent="0.2">
      <c r="B407" s="118"/>
    </row>
    <row r="408" spans="2:2" x14ac:dyDescent="0.2">
      <c r="B408" s="118"/>
    </row>
    <row r="409" spans="2:2" x14ac:dyDescent="0.2">
      <c r="B409" s="118"/>
    </row>
    <row r="410" spans="2:2" x14ac:dyDescent="0.2">
      <c r="B410" s="118"/>
    </row>
    <row r="411" spans="2:2" x14ac:dyDescent="0.2">
      <c r="B411" s="118"/>
    </row>
    <row r="412" spans="2:2" x14ac:dyDescent="0.2">
      <c r="B412" s="118"/>
    </row>
    <row r="413" spans="2:2" x14ac:dyDescent="0.2">
      <c r="B413" s="118"/>
    </row>
    <row r="414" spans="2:2" x14ac:dyDescent="0.2">
      <c r="B414" s="118"/>
    </row>
    <row r="415" spans="2:2" x14ac:dyDescent="0.2">
      <c r="B415" s="118"/>
    </row>
    <row r="416" spans="2:2" x14ac:dyDescent="0.2">
      <c r="B416" s="118"/>
    </row>
    <row r="417" spans="2:2" x14ac:dyDescent="0.2">
      <c r="B417" s="118"/>
    </row>
    <row r="418" spans="2:2" x14ac:dyDescent="0.2">
      <c r="B418" s="118"/>
    </row>
    <row r="419" spans="2:2" x14ac:dyDescent="0.2">
      <c r="B419" s="118"/>
    </row>
    <row r="420" spans="2:2" x14ac:dyDescent="0.2">
      <c r="B420" s="118"/>
    </row>
    <row r="421" spans="2:2" x14ac:dyDescent="0.2">
      <c r="B421" s="118"/>
    </row>
    <row r="422" spans="2:2" x14ac:dyDescent="0.2">
      <c r="B422" s="118"/>
    </row>
    <row r="423" spans="2:2" x14ac:dyDescent="0.2">
      <c r="B423" s="118"/>
    </row>
    <row r="424" spans="2:2" x14ac:dyDescent="0.2">
      <c r="B424" s="118"/>
    </row>
    <row r="425" spans="2:2" x14ac:dyDescent="0.2">
      <c r="B425" s="118"/>
    </row>
    <row r="426" spans="2:2" x14ac:dyDescent="0.2">
      <c r="B426" s="118"/>
    </row>
    <row r="427" spans="2:2" x14ac:dyDescent="0.2">
      <c r="B427" s="118"/>
    </row>
    <row r="428" spans="2:2" x14ac:dyDescent="0.2">
      <c r="B428" s="118"/>
    </row>
    <row r="429" spans="2:2" x14ac:dyDescent="0.2">
      <c r="B429" s="118"/>
    </row>
    <row r="430" spans="2:2" x14ac:dyDescent="0.2">
      <c r="B430" s="118"/>
    </row>
    <row r="431" spans="2:2" x14ac:dyDescent="0.2">
      <c r="B431" s="118"/>
    </row>
    <row r="432" spans="2:2" x14ac:dyDescent="0.2">
      <c r="B432" s="118"/>
    </row>
    <row r="433" spans="2:2" x14ac:dyDescent="0.2">
      <c r="B433" s="118"/>
    </row>
    <row r="434" spans="2:2" x14ac:dyDescent="0.2">
      <c r="B434" s="118"/>
    </row>
    <row r="435" spans="2:2" x14ac:dyDescent="0.2">
      <c r="B435" s="118"/>
    </row>
    <row r="436" spans="2:2" x14ac:dyDescent="0.2">
      <c r="B436" s="118"/>
    </row>
    <row r="437" spans="2:2" x14ac:dyDescent="0.2">
      <c r="B437" s="118"/>
    </row>
    <row r="438" spans="2:2" x14ac:dyDescent="0.2">
      <c r="B438" s="118"/>
    </row>
    <row r="439" spans="2:2" x14ac:dyDescent="0.2">
      <c r="B439" s="118"/>
    </row>
    <row r="440" spans="2:2" x14ac:dyDescent="0.2">
      <c r="B440" s="118"/>
    </row>
    <row r="441" spans="2:2" x14ac:dyDescent="0.2">
      <c r="B441" s="118"/>
    </row>
    <row r="442" spans="2:2" x14ac:dyDescent="0.2">
      <c r="B442" s="118"/>
    </row>
    <row r="443" spans="2:2" x14ac:dyDescent="0.2">
      <c r="B443" s="118"/>
    </row>
    <row r="444" spans="2:2" x14ac:dyDescent="0.2">
      <c r="B444" s="118"/>
    </row>
    <row r="445" spans="2:2" x14ac:dyDescent="0.2">
      <c r="B445" s="118"/>
    </row>
    <row r="446" spans="2:2" x14ac:dyDescent="0.2">
      <c r="B446" s="118"/>
    </row>
    <row r="447" spans="2:2" x14ac:dyDescent="0.2">
      <c r="B447" s="118"/>
    </row>
    <row r="448" spans="2:2" x14ac:dyDescent="0.2">
      <c r="B448" s="118"/>
    </row>
    <row r="449" spans="2:2" x14ac:dyDescent="0.2">
      <c r="B449" s="118"/>
    </row>
    <row r="450" spans="2:2" x14ac:dyDescent="0.2">
      <c r="B450" s="118"/>
    </row>
    <row r="451" spans="2:2" x14ac:dyDescent="0.2">
      <c r="B451" s="118"/>
    </row>
    <row r="452" spans="2:2" x14ac:dyDescent="0.2">
      <c r="B452" s="118"/>
    </row>
    <row r="453" spans="2:2" x14ac:dyDescent="0.2">
      <c r="B453" s="118"/>
    </row>
    <row r="454" spans="2:2" x14ac:dyDescent="0.2">
      <c r="B454" s="118"/>
    </row>
    <row r="455" spans="2:2" x14ac:dyDescent="0.2">
      <c r="B455" s="118"/>
    </row>
    <row r="456" spans="2:2" x14ac:dyDescent="0.2">
      <c r="B456" s="118"/>
    </row>
    <row r="457" spans="2:2" x14ac:dyDescent="0.2">
      <c r="B457" s="118"/>
    </row>
    <row r="458" spans="2:2" x14ac:dyDescent="0.2">
      <c r="B458" s="118"/>
    </row>
    <row r="459" spans="2:2" x14ac:dyDescent="0.2">
      <c r="B459" s="118"/>
    </row>
    <row r="460" spans="2:2" x14ac:dyDescent="0.2">
      <c r="B460" s="118"/>
    </row>
    <row r="461" spans="2:2" x14ac:dyDescent="0.2">
      <c r="B461" s="118"/>
    </row>
    <row r="462" spans="2:2" x14ac:dyDescent="0.2">
      <c r="B462" s="118"/>
    </row>
    <row r="463" spans="2:2" x14ac:dyDescent="0.2">
      <c r="B463" s="118"/>
    </row>
    <row r="464" spans="2:2" x14ac:dyDescent="0.2">
      <c r="B464" s="118"/>
    </row>
    <row r="465" spans="2:2" x14ac:dyDescent="0.2">
      <c r="B465" s="118"/>
    </row>
    <row r="466" spans="2:2" x14ac:dyDescent="0.2">
      <c r="B466" s="118"/>
    </row>
    <row r="467" spans="2:2" x14ac:dyDescent="0.2">
      <c r="B467" s="118"/>
    </row>
    <row r="468" spans="2:2" x14ac:dyDescent="0.2">
      <c r="B468" s="118"/>
    </row>
    <row r="469" spans="2:2" x14ac:dyDescent="0.2">
      <c r="B469" s="118"/>
    </row>
    <row r="470" spans="2:2" x14ac:dyDescent="0.2">
      <c r="B470" s="118"/>
    </row>
    <row r="471" spans="2:2" x14ac:dyDescent="0.2">
      <c r="B471" s="118"/>
    </row>
    <row r="472" spans="2:2" x14ac:dyDescent="0.2">
      <c r="B472" s="118"/>
    </row>
    <row r="473" spans="2:2" x14ac:dyDescent="0.2">
      <c r="B473" s="118"/>
    </row>
    <row r="474" spans="2:2" x14ac:dyDescent="0.2">
      <c r="B474" s="118"/>
    </row>
    <row r="475" spans="2:2" x14ac:dyDescent="0.2">
      <c r="B475" s="118"/>
    </row>
    <row r="476" spans="2:2" x14ac:dyDescent="0.2">
      <c r="B476" s="118"/>
    </row>
    <row r="477" spans="2:2" x14ac:dyDescent="0.2">
      <c r="B477" s="118"/>
    </row>
    <row r="478" spans="2:2" x14ac:dyDescent="0.2">
      <c r="B478" s="118"/>
    </row>
    <row r="479" spans="2:2" x14ac:dyDescent="0.2">
      <c r="B479" s="118"/>
    </row>
    <row r="480" spans="2:2" x14ac:dyDescent="0.2">
      <c r="B480" s="118"/>
    </row>
    <row r="481" spans="2:2" x14ac:dyDescent="0.2">
      <c r="B481" s="118"/>
    </row>
    <row r="482" spans="2:2" x14ac:dyDescent="0.2">
      <c r="B482" s="118"/>
    </row>
    <row r="483" spans="2:2" x14ac:dyDescent="0.2">
      <c r="B483" s="118"/>
    </row>
    <row r="484" spans="2:2" x14ac:dyDescent="0.2">
      <c r="B484" s="118"/>
    </row>
    <row r="485" spans="2:2" x14ac:dyDescent="0.2">
      <c r="B485" s="118"/>
    </row>
    <row r="486" spans="2:2" x14ac:dyDescent="0.2">
      <c r="B486" s="118"/>
    </row>
    <row r="487" spans="2:2" x14ac:dyDescent="0.2">
      <c r="B487" s="118"/>
    </row>
    <row r="488" spans="2:2" x14ac:dyDescent="0.2">
      <c r="B488" s="118"/>
    </row>
    <row r="489" spans="2:2" x14ac:dyDescent="0.2">
      <c r="B489" s="118"/>
    </row>
    <row r="490" spans="2:2" x14ac:dyDescent="0.2">
      <c r="B490" s="118"/>
    </row>
    <row r="491" spans="2:2" x14ac:dyDescent="0.2">
      <c r="B491" s="118"/>
    </row>
    <row r="492" spans="2:2" x14ac:dyDescent="0.2">
      <c r="B492" s="118"/>
    </row>
    <row r="493" spans="2:2" x14ac:dyDescent="0.2">
      <c r="B493" s="118"/>
    </row>
    <row r="494" spans="2:2" x14ac:dyDescent="0.2">
      <c r="B494" s="118"/>
    </row>
    <row r="495" spans="2:2" x14ac:dyDescent="0.2">
      <c r="B495" s="118"/>
    </row>
    <row r="496" spans="2:2" x14ac:dyDescent="0.2">
      <c r="B496" s="118"/>
    </row>
    <row r="497" spans="2:2" x14ac:dyDescent="0.2">
      <c r="B497" s="118"/>
    </row>
    <row r="498" spans="2:2" x14ac:dyDescent="0.2">
      <c r="B498" s="118"/>
    </row>
    <row r="499" spans="2:2" x14ac:dyDescent="0.2">
      <c r="B499" s="118"/>
    </row>
    <row r="500" spans="2:2" x14ac:dyDescent="0.2">
      <c r="B500" s="118"/>
    </row>
    <row r="501" spans="2:2" x14ac:dyDescent="0.2">
      <c r="B501" s="118"/>
    </row>
    <row r="502" spans="2:2" x14ac:dyDescent="0.2">
      <c r="B502" s="118"/>
    </row>
    <row r="503" spans="2:2" x14ac:dyDescent="0.2">
      <c r="B503" s="118"/>
    </row>
    <row r="504" spans="2:2" x14ac:dyDescent="0.2">
      <c r="B504" s="118"/>
    </row>
    <row r="505" spans="2:2" x14ac:dyDescent="0.2">
      <c r="B505" s="118"/>
    </row>
    <row r="506" spans="2:2" x14ac:dyDescent="0.2">
      <c r="B506" s="118"/>
    </row>
    <row r="507" spans="2:2" x14ac:dyDescent="0.2">
      <c r="B507" s="118"/>
    </row>
    <row r="508" spans="2:2" x14ac:dyDescent="0.2">
      <c r="B508" s="118"/>
    </row>
    <row r="509" spans="2:2" x14ac:dyDescent="0.2">
      <c r="B509" s="118"/>
    </row>
    <row r="510" spans="2:2" x14ac:dyDescent="0.2">
      <c r="B510" s="118"/>
    </row>
    <row r="511" spans="2:2" x14ac:dyDescent="0.2">
      <c r="B511" s="118"/>
    </row>
  </sheetData>
  <mergeCells count="10">
    <mergeCell ref="C13:G13"/>
    <mergeCell ref="F20:H20"/>
    <mergeCell ref="F23:G23"/>
    <mergeCell ref="F24:G24"/>
    <mergeCell ref="B3:H3"/>
    <mergeCell ref="B4:H4"/>
    <mergeCell ref="F6:H6"/>
    <mergeCell ref="F7:H7"/>
    <mergeCell ref="B11:B12"/>
    <mergeCell ref="C11:F12"/>
  </mergeCells>
  <printOptions horizontalCentered="1"/>
  <pageMargins left="0.53740157499999996" right="0.39370078740157499" top="0.59055118100000004" bottom="0.143700787" header="0.511811023622047" footer="0.511811023622047"/>
  <pageSetup paperSize="256" scale="60" orientation="portrait" horizontalDpi="4294967293" verticalDpi="4294967292" r:id="rId1"/>
  <headerFooter alignWithMargins="0"/>
  <rowBreaks count="1" manualBreakCount="1">
    <brk id="21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N510"/>
  <sheetViews>
    <sheetView showGridLines="0" view="pageBreakPreview" topLeftCell="A15" zoomScale="85" zoomScaleNormal="85" zoomScaleSheetLayoutView="85" workbookViewId="0">
      <selection activeCell="B20" sqref="B20:H30"/>
    </sheetView>
  </sheetViews>
  <sheetFormatPr defaultRowHeight="16.5" x14ac:dyDescent="0.2"/>
  <cols>
    <col min="1" max="1" width="4.5703125" style="118" customWidth="1"/>
    <col min="2" max="2" width="9.28515625" style="121" customWidth="1"/>
    <col min="3" max="3" width="1.140625" style="118" customWidth="1"/>
    <col min="4" max="4" width="20.85546875" style="118" customWidth="1"/>
    <col min="5" max="5" width="1.7109375" style="118" customWidth="1"/>
    <col min="6" max="6" width="37.85546875" style="118" customWidth="1"/>
    <col min="7" max="7" width="17.140625" style="117" customWidth="1"/>
    <col min="8" max="8" width="31.42578125" style="119" customWidth="1"/>
    <col min="9" max="9" width="7" style="326" customWidth="1"/>
    <col min="10" max="10" width="23.140625" style="119" customWidth="1"/>
    <col min="11" max="11" width="17.5703125" style="119" customWidth="1"/>
    <col min="12" max="12" width="17.85546875" style="118" customWidth="1"/>
    <col min="13" max="13" width="20.140625" style="143" bestFit="1" customWidth="1"/>
    <col min="14" max="14" width="10.85546875" style="248" bestFit="1" customWidth="1"/>
    <col min="15" max="16384" width="9.140625" style="118"/>
  </cols>
  <sheetData>
    <row r="3" spans="2:12" ht="21" x14ac:dyDescent="0.2">
      <c r="B3" s="476" t="s">
        <v>319</v>
      </c>
      <c r="C3" s="477"/>
      <c r="D3" s="477"/>
      <c r="E3" s="477"/>
      <c r="F3" s="477"/>
      <c r="G3" s="477"/>
      <c r="H3" s="478"/>
      <c r="J3" s="321"/>
      <c r="K3" s="321"/>
    </row>
    <row r="4" spans="2:12" ht="21" x14ac:dyDescent="0.2">
      <c r="B4" s="479" t="s">
        <v>17</v>
      </c>
      <c r="C4" s="480"/>
      <c r="D4" s="480"/>
      <c r="E4" s="480"/>
      <c r="F4" s="480"/>
      <c r="G4" s="480"/>
      <c r="H4" s="481"/>
      <c r="J4" s="321"/>
      <c r="K4" s="321"/>
    </row>
    <row r="5" spans="2:12" ht="18" customHeight="1" x14ac:dyDescent="0.2">
      <c r="B5" s="123"/>
      <c r="C5" s="123"/>
      <c r="D5" s="123"/>
      <c r="E5" s="123"/>
      <c r="F5" s="123"/>
      <c r="G5" s="123"/>
      <c r="H5" s="123"/>
      <c r="J5" s="123"/>
      <c r="K5" s="123"/>
    </row>
    <row r="6" spans="2:12" ht="18" customHeight="1" x14ac:dyDescent="0.2">
      <c r="B6" s="123"/>
      <c r="C6" s="107" t="s">
        <v>1</v>
      </c>
      <c r="D6" s="117"/>
      <c r="E6" s="113" t="s">
        <v>0</v>
      </c>
      <c r="F6" s="482" t="str">
        <f>GEDUNG!F6</f>
        <v>GEDUNG KANTOR PT. JASA RAHARJA (Persero) CABANG JAMBI</v>
      </c>
      <c r="G6" s="482"/>
      <c r="H6" s="482"/>
      <c r="J6" s="283"/>
      <c r="K6" s="283"/>
    </row>
    <row r="7" spans="2:12" ht="18" customHeight="1" x14ac:dyDescent="0.2">
      <c r="B7" s="124"/>
      <c r="C7" s="107" t="s">
        <v>2</v>
      </c>
      <c r="D7" s="117"/>
      <c r="E7" s="113" t="s">
        <v>0</v>
      </c>
      <c r="F7" s="483" t="str">
        <f>GEDUNG!F7</f>
        <v>Jl. Prof DR Sri Sudewi SH No. 19, Sungai Putri, Telanaipura, Kota Jambi, Jambi 36122</v>
      </c>
      <c r="G7" s="483"/>
      <c r="H7" s="483"/>
      <c r="J7" s="277"/>
      <c r="K7" s="277"/>
    </row>
    <row r="8" spans="2:12" ht="18" customHeight="1" x14ac:dyDescent="0.2">
      <c r="B8" s="124"/>
      <c r="C8" s="107" t="s">
        <v>3</v>
      </c>
      <c r="D8" s="117"/>
      <c r="E8" s="113" t="s">
        <v>0</v>
      </c>
      <c r="F8" s="277" t="str">
        <f>GEDUNG!F8</f>
        <v>2021</v>
      </c>
      <c r="H8" s="125"/>
      <c r="J8" s="125"/>
      <c r="K8" s="125"/>
    </row>
    <row r="9" spans="2:12" ht="18" customHeight="1" x14ac:dyDescent="0.2">
      <c r="B9" s="124"/>
      <c r="C9" s="107"/>
      <c r="D9" s="117"/>
      <c r="E9" s="113"/>
      <c r="F9" s="277"/>
      <c r="H9" s="125"/>
      <c r="J9" s="125"/>
      <c r="K9" s="125"/>
    </row>
    <row r="10" spans="2:12" ht="6.75" customHeight="1" thickBot="1" x14ac:dyDescent="0.25">
      <c r="B10" s="126"/>
      <c r="C10" s="127"/>
      <c r="D10" s="127"/>
      <c r="E10" s="127"/>
      <c r="F10" s="127"/>
      <c r="G10" s="113"/>
      <c r="H10" s="128"/>
      <c r="J10" s="128"/>
      <c r="K10" s="128"/>
    </row>
    <row r="11" spans="2:12" ht="18" customHeight="1" x14ac:dyDescent="0.2">
      <c r="B11" s="484" t="s">
        <v>5</v>
      </c>
      <c r="C11" s="486" t="s">
        <v>6</v>
      </c>
      <c r="D11" s="487"/>
      <c r="E11" s="487"/>
      <c r="F11" s="487"/>
      <c r="G11" s="303"/>
      <c r="H11" s="304" t="s">
        <v>7</v>
      </c>
      <c r="J11" s="322"/>
      <c r="K11" s="322"/>
    </row>
    <row r="12" spans="2:12" ht="18" customHeight="1" x14ac:dyDescent="0.2">
      <c r="B12" s="485"/>
      <c r="C12" s="488"/>
      <c r="D12" s="489"/>
      <c r="E12" s="489"/>
      <c r="F12" s="489"/>
      <c r="G12" s="305"/>
      <c r="H12" s="306" t="s">
        <v>8</v>
      </c>
      <c r="J12" s="322"/>
      <c r="K12" s="322"/>
    </row>
    <row r="13" spans="2:12" ht="20.100000000000001" customHeight="1" x14ac:dyDescent="0.2">
      <c r="B13" s="307">
        <v>1</v>
      </c>
      <c r="C13" s="469">
        <v>2</v>
      </c>
      <c r="D13" s="470"/>
      <c r="E13" s="470"/>
      <c r="F13" s="470"/>
      <c r="G13" s="471"/>
      <c r="H13" s="308">
        <v>3</v>
      </c>
      <c r="J13" s="323"/>
      <c r="K13" s="323"/>
    </row>
    <row r="14" spans="2:12" ht="20.100000000000001" customHeight="1" x14ac:dyDescent="0.2">
      <c r="B14" s="114" t="str">
        <f>GEDUNG!B13</f>
        <v>I</v>
      </c>
      <c r="C14" s="115"/>
      <c r="D14" s="116" t="s">
        <v>351</v>
      </c>
      <c r="E14" s="116"/>
      <c r="F14" s="116"/>
      <c r="G14" s="116"/>
      <c r="H14" s="129">
        <f>+'REKAP GEDUNG'!H31</f>
        <v>0</v>
      </c>
      <c r="I14" s="327"/>
      <c r="J14" s="125">
        <f>+'REKAP GEDUNG'!H28</f>
        <v>0</v>
      </c>
      <c r="K14" s="125"/>
      <c r="L14" s="281"/>
    </row>
    <row r="15" spans="2:12" ht="20.100000000000001" customHeight="1" x14ac:dyDescent="0.2">
      <c r="B15" s="114" t="str">
        <f>GEDUNG!B32</f>
        <v>II</v>
      </c>
      <c r="C15" s="115"/>
      <c r="D15" s="116" t="s">
        <v>331</v>
      </c>
      <c r="E15" s="116"/>
      <c r="F15" s="116"/>
      <c r="G15" s="116"/>
      <c r="H15" s="129" t="e">
        <f>+#REF!</f>
        <v>#REF!</v>
      </c>
      <c r="I15" s="327"/>
      <c r="J15" s="125" t="e">
        <f>+#REF!</f>
        <v>#REF!</v>
      </c>
      <c r="K15" s="125"/>
      <c r="L15" s="281"/>
    </row>
    <row r="16" spans="2:12" ht="20.100000000000001" customHeight="1" x14ac:dyDescent="0.2">
      <c r="B16" s="114" t="str">
        <f>GEDUNG!B39</f>
        <v>III</v>
      </c>
      <c r="C16" s="115"/>
      <c r="D16" s="116" t="s">
        <v>332</v>
      </c>
      <c r="E16" s="116"/>
      <c r="F16" s="116"/>
      <c r="G16" s="116"/>
      <c r="H16" s="129" t="e">
        <f>+#REF!</f>
        <v>#REF!</v>
      </c>
      <c r="J16" s="125" t="e">
        <f>+#REF!</f>
        <v>#REF!</v>
      </c>
      <c r="K16" s="125"/>
    </row>
    <row r="17" spans="1:14" s="248" customFormat="1" ht="20.100000000000001" customHeight="1" thickBot="1" x14ac:dyDescent="0.25">
      <c r="A17" s="118"/>
      <c r="B17" s="114"/>
      <c r="C17" s="115"/>
      <c r="D17" s="116"/>
      <c r="E17" s="116"/>
      <c r="F17" s="116"/>
      <c r="G17" s="116"/>
      <c r="H17" s="129"/>
      <c r="I17" s="326"/>
      <c r="J17" s="125"/>
      <c r="K17" s="125"/>
      <c r="L17" s="118"/>
      <c r="M17" s="143"/>
    </row>
    <row r="18" spans="1:14" s="248" customFormat="1" ht="21.2" customHeight="1" x14ac:dyDescent="0.2">
      <c r="A18" s="118"/>
      <c r="B18" s="315"/>
      <c r="C18" s="316"/>
      <c r="D18" s="316" t="s">
        <v>56</v>
      </c>
      <c r="E18" s="316"/>
      <c r="F18" s="316"/>
      <c r="G18" s="317"/>
      <c r="H18" s="318" t="e">
        <f>SUM(H14:H17)</f>
        <v>#REF!</v>
      </c>
      <c r="I18" s="326"/>
      <c r="J18" s="324" t="e">
        <f>SUM(J14:J17)</f>
        <v>#REF!</v>
      </c>
      <c r="K18" s="324"/>
      <c r="L18" s="118"/>
      <c r="M18" s="143"/>
    </row>
    <row r="19" spans="1:14" ht="50.25" customHeight="1" thickBot="1" x14ac:dyDescent="0.25">
      <c r="B19" s="319"/>
      <c r="C19" s="320"/>
      <c r="D19" s="320" t="s">
        <v>48</v>
      </c>
      <c r="E19" s="320" t="s">
        <v>0</v>
      </c>
      <c r="F19" s="472"/>
      <c r="G19" s="472"/>
      <c r="H19" s="473"/>
      <c r="J19" s="325"/>
      <c r="K19" s="325"/>
    </row>
    <row r="20" spans="1:14" ht="21.75" customHeight="1" x14ac:dyDescent="0.2">
      <c r="B20" s="117"/>
      <c r="C20" s="117"/>
      <c r="D20" s="120"/>
      <c r="E20" s="120"/>
      <c r="F20" s="278"/>
      <c r="G20" s="278"/>
      <c r="H20" s="278"/>
      <c r="J20" s="278"/>
      <c r="K20" s="278"/>
    </row>
    <row r="21" spans="1:14" s="144" customFormat="1" x14ac:dyDescent="0.2">
      <c r="C21" s="118"/>
      <c r="D21" s="121"/>
      <c r="E21" s="121"/>
      <c r="F21" s="241"/>
      <c r="G21" s="330" t="s">
        <v>357</v>
      </c>
      <c r="H21" s="118"/>
      <c r="I21" s="328"/>
      <c r="J21" s="118"/>
      <c r="K21" s="118"/>
      <c r="M21" s="286"/>
      <c r="N21" s="280"/>
    </row>
    <row r="22" spans="1:14" s="144" customFormat="1" x14ac:dyDescent="0.2">
      <c r="B22" s="333" t="s">
        <v>354</v>
      </c>
      <c r="C22" s="228"/>
      <c r="D22" s="228"/>
      <c r="E22" s="228"/>
      <c r="F22" s="331"/>
      <c r="G22" s="332" t="s">
        <v>358</v>
      </c>
      <c r="H22" s="228"/>
      <c r="I22" s="328"/>
      <c r="J22" s="228"/>
      <c r="K22" s="228"/>
      <c r="M22" s="286"/>
      <c r="N22" s="280"/>
    </row>
    <row r="23" spans="1:14" s="144" customFormat="1" x14ac:dyDescent="0.2">
      <c r="B23" s="228"/>
      <c r="C23" s="228"/>
      <c r="D23" s="228"/>
      <c r="E23" s="228"/>
      <c r="F23" s="331"/>
      <c r="G23" s="332"/>
      <c r="H23" s="118"/>
      <c r="I23" s="328"/>
      <c r="J23" s="118"/>
      <c r="K23" s="118"/>
      <c r="M23" s="286"/>
      <c r="N23" s="280"/>
    </row>
    <row r="24" spans="1:14" x14ac:dyDescent="0.2">
      <c r="B24" s="228"/>
      <c r="C24" s="228"/>
      <c r="D24" s="228"/>
      <c r="E24" s="228"/>
      <c r="F24" s="331"/>
      <c r="G24" s="332"/>
    </row>
    <row r="25" spans="1:14" x14ac:dyDescent="0.2">
      <c r="B25" s="118"/>
      <c r="F25" s="241"/>
      <c r="G25" s="241"/>
    </row>
    <row r="26" spans="1:14" x14ac:dyDescent="0.2">
      <c r="B26" s="118"/>
    </row>
    <row r="27" spans="1:14" x14ac:dyDescent="0.2">
      <c r="B27" s="228" t="s">
        <v>355</v>
      </c>
      <c r="G27" s="290" t="s">
        <v>359</v>
      </c>
    </row>
    <row r="28" spans="1:14" x14ac:dyDescent="0.2">
      <c r="B28" s="118" t="s">
        <v>356</v>
      </c>
      <c r="G28" s="117" t="s">
        <v>178</v>
      </c>
    </row>
    <row r="29" spans="1:14" x14ac:dyDescent="0.2">
      <c r="B29" s="118"/>
    </row>
    <row r="30" spans="1:14" x14ac:dyDescent="0.2">
      <c r="B30" s="118"/>
    </row>
    <row r="31" spans="1:14" x14ac:dyDescent="0.2">
      <c r="B31" s="118"/>
    </row>
    <row r="32" spans="1:14" x14ac:dyDescent="0.2">
      <c r="B32" s="118"/>
    </row>
    <row r="33" spans="2:2" x14ac:dyDescent="0.2">
      <c r="B33" s="118"/>
    </row>
    <row r="34" spans="2:2" x14ac:dyDescent="0.2">
      <c r="B34" s="118"/>
    </row>
    <row r="35" spans="2:2" x14ac:dyDescent="0.2">
      <c r="B35" s="118"/>
    </row>
    <row r="36" spans="2:2" x14ac:dyDescent="0.2">
      <c r="B36" s="118"/>
    </row>
    <row r="37" spans="2:2" x14ac:dyDescent="0.2">
      <c r="B37" s="118"/>
    </row>
    <row r="38" spans="2:2" x14ac:dyDescent="0.2">
      <c r="B38" s="118"/>
    </row>
    <row r="39" spans="2:2" x14ac:dyDescent="0.2">
      <c r="B39" s="118"/>
    </row>
    <row r="40" spans="2:2" x14ac:dyDescent="0.2">
      <c r="B40" s="118"/>
    </row>
    <row r="41" spans="2:2" x14ac:dyDescent="0.2">
      <c r="B41" s="118"/>
    </row>
    <row r="42" spans="2:2" x14ac:dyDescent="0.2">
      <c r="B42" s="118"/>
    </row>
    <row r="43" spans="2:2" x14ac:dyDescent="0.2">
      <c r="B43" s="118"/>
    </row>
    <row r="44" spans="2:2" x14ac:dyDescent="0.2">
      <c r="B44" s="118"/>
    </row>
    <row r="45" spans="2:2" x14ac:dyDescent="0.2">
      <c r="B45" s="118"/>
    </row>
    <row r="46" spans="2:2" x14ac:dyDescent="0.2">
      <c r="B46" s="118"/>
    </row>
    <row r="47" spans="2:2" x14ac:dyDescent="0.2">
      <c r="B47" s="118"/>
    </row>
    <row r="48" spans="2:2" x14ac:dyDescent="0.2">
      <c r="B48" s="118"/>
    </row>
    <row r="49" spans="2:2" x14ac:dyDescent="0.2">
      <c r="B49" s="118"/>
    </row>
    <row r="50" spans="2:2" x14ac:dyDescent="0.2">
      <c r="B50" s="118"/>
    </row>
    <row r="51" spans="2:2" x14ac:dyDescent="0.2">
      <c r="B51" s="118"/>
    </row>
    <row r="52" spans="2:2" x14ac:dyDescent="0.2">
      <c r="B52" s="118"/>
    </row>
    <row r="53" spans="2:2" x14ac:dyDescent="0.2">
      <c r="B53" s="118"/>
    </row>
    <row r="54" spans="2:2" x14ac:dyDescent="0.2">
      <c r="B54" s="118"/>
    </row>
    <row r="55" spans="2:2" x14ac:dyDescent="0.2">
      <c r="B55" s="118"/>
    </row>
    <row r="56" spans="2:2" x14ac:dyDescent="0.2">
      <c r="B56" s="118"/>
    </row>
    <row r="57" spans="2:2" x14ac:dyDescent="0.2">
      <c r="B57" s="118"/>
    </row>
    <row r="58" spans="2:2" x14ac:dyDescent="0.2">
      <c r="B58" s="118"/>
    </row>
    <row r="59" spans="2:2" x14ac:dyDescent="0.2">
      <c r="B59" s="118"/>
    </row>
    <row r="60" spans="2:2" x14ac:dyDescent="0.2">
      <c r="B60" s="118"/>
    </row>
    <row r="61" spans="2:2" x14ac:dyDescent="0.2">
      <c r="B61" s="118"/>
    </row>
    <row r="62" spans="2:2" x14ac:dyDescent="0.2">
      <c r="B62" s="118"/>
    </row>
    <row r="63" spans="2:2" x14ac:dyDescent="0.2">
      <c r="B63" s="118"/>
    </row>
    <row r="64" spans="2:2" x14ac:dyDescent="0.2">
      <c r="B64" s="118"/>
    </row>
    <row r="65" spans="2:2" x14ac:dyDescent="0.2">
      <c r="B65" s="118"/>
    </row>
    <row r="66" spans="2:2" x14ac:dyDescent="0.2">
      <c r="B66" s="118"/>
    </row>
    <row r="67" spans="2:2" x14ac:dyDescent="0.2">
      <c r="B67" s="118"/>
    </row>
    <row r="68" spans="2:2" x14ac:dyDescent="0.2">
      <c r="B68" s="118"/>
    </row>
    <row r="69" spans="2:2" x14ac:dyDescent="0.2">
      <c r="B69" s="118"/>
    </row>
    <row r="70" spans="2:2" x14ac:dyDescent="0.2">
      <c r="B70" s="118"/>
    </row>
    <row r="71" spans="2:2" x14ac:dyDescent="0.2">
      <c r="B71" s="118"/>
    </row>
    <row r="72" spans="2:2" x14ac:dyDescent="0.2">
      <c r="B72" s="118"/>
    </row>
    <row r="73" spans="2:2" x14ac:dyDescent="0.2">
      <c r="B73" s="118"/>
    </row>
    <row r="74" spans="2:2" x14ac:dyDescent="0.2">
      <c r="B74" s="118"/>
    </row>
    <row r="75" spans="2:2" x14ac:dyDescent="0.2">
      <c r="B75" s="118"/>
    </row>
    <row r="76" spans="2:2" x14ac:dyDescent="0.2">
      <c r="B76" s="118"/>
    </row>
    <row r="77" spans="2:2" x14ac:dyDescent="0.2">
      <c r="B77" s="118"/>
    </row>
    <row r="78" spans="2:2" x14ac:dyDescent="0.2">
      <c r="B78" s="118"/>
    </row>
    <row r="79" spans="2:2" x14ac:dyDescent="0.2">
      <c r="B79" s="118"/>
    </row>
    <row r="80" spans="2:2" x14ac:dyDescent="0.2">
      <c r="B80" s="118"/>
    </row>
    <row r="81" spans="2:2" x14ac:dyDescent="0.2">
      <c r="B81" s="118"/>
    </row>
    <row r="82" spans="2:2" x14ac:dyDescent="0.2">
      <c r="B82" s="118"/>
    </row>
    <row r="83" spans="2:2" x14ac:dyDescent="0.2">
      <c r="B83" s="118"/>
    </row>
    <row r="84" spans="2:2" x14ac:dyDescent="0.2">
      <c r="B84" s="118"/>
    </row>
    <row r="85" spans="2:2" x14ac:dyDescent="0.2">
      <c r="B85" s="118"/>
    </row>
    <row r="86" spans="2:2" x14ac:dyDescent="0.2">
      <c r="B86" s="118"/>
    </row>
    <row r="87" spans="2:2" x14ac:dyDescent="0.2">
      <c r="B87" s="118"/>
    </row>
    <row r="88" spans="2:2" x14ac:dyDescent="0.2">
      <c r="B88" s="118"/>
    </row>
    <row r="89" spans="2:2" x14ac:dyDescent="0.2">
      <c r="B89" s="118"/>
    </row>
    <row r="90" spans="2:2" x14ac:dyDescent="0.2">
      <c r="B90" s="118"/>
    </row>
    <row r="91" spans="2:2" x14ac:dyDescent="0.2">
      <c r="B91" s="118"/>
    </row>
    <row r="92" spans="2:2" x14ac:dyDescent="0.2">
      <c r="B92" s="118"/>
    </row>
    <row r="93" spans="2:2" x14ac:dyDescent="0.2">
      <c r="B93" s="118"/>
    </row>
    <row r="94" spans="2:2" x14ac:dyDescent="0.2">
      <c r="B94" s="118"/>
    </row>
    <row r="95" spans="2:2" x14ac:dyDescent="0.2">
      <c r="B95" s="118"/>
    </row>
    <row r="96" spans="2:2" x14ac:dyDescent="0.2">
      <c r="B96" s="118"/>
    </row>
    <row r="97" spans="2:2" x14ac:dyDescent="0.2">
      <c r="B97" s="118"/>
    </row>
    <row r="98" spans="2:2" x14ac:dyDescent="0.2">
      <c r="B98" s="118"/>
    </row>
    <row r="99" spans="2:2" x14ac:dyDescent="0.2">
      <c r="B99" s="118"/>
    </row>
    <row r="100" spans="2:2" x14ac:dyDescent="0.2">
      <c r="B100" s="118"/>
    </row>
    <row r="101" spans="2:2" x14ac:dyDescent="0.2">
      <c r="B101" s="118"/>
    </row>
    <row r="102" spans="2:2" x14ac:dyDescent="0.2">
      <c r="B102" s="118"/>
    </row>
    <row r="103" spans="2:2" x14ac:dyDescent="0.2">
      <c r="B103" s="118"/>
    </row>
    <row r="104" spans="2:2" x14ac:dyDescent="0.2">
      <c r="B104" s="118"/>
    </row>
    <row r="105" spans="2:2" x14ac:dyDescent="0.2">
      <c r="B105" s="118"/>
    </row>
    <row r="106" spans="2:2" x14ac:dyDescent="0.2">
      <c r="B106" s="118"/>
    </row>
    <row r="107" spans="2:2" x14ac:dyDescent="0.2">
      <c r="B107" s="118"/>
    </row>
    <row r="108" spans="2:2" x14ac:dyDescent="0.2">
      <c r="B108" s="118"/>
    </row>
    <row r="109" spans="2:2" x14ac:dyDescent="0.2">
      <c r="B109" s="118"/>
    </row>
    <row r="110" spans="2:2" x14ac:dyDescent="0.2">
      <c r="B110" s="118"/>
    </row>
    <row r="111" spans="2:2" x14ac:dyDescent="0.2">
      <c r="B111" s="118"/>
    </row>
    <row r="112" spans="2:2" x14ac:dyDescent="0.2">
      <c r="B112" s="118"/>
    </row>
    <row r="113" spans="2:2" x14ac:dyDescent="0.2">
      <c r="B113" s="118"/>
    </row>
    <row r="114" spans="2:2" x14ac:dyDescent="0.2">
      <c r="B114" s="118"/>
    </row>
    <row r="115" spans="2:2" x14ac:dyDescent="0.2">
      <c r="B115" s="118"/>
    </row>
    <row r="116" spans="2:2" x14ac:dyDescent="0.2">
      <c r="B116" s="118"/>
    </row>
    <row r="117" spans="2:2" x14ac:dyDescent="0.2">
      <c r="B117" s="118"/>
    </row>
    <row r="118" spans="2:2" x14ac:dyDescent="0.2">
      <c r="B118" s="118"/>
    </row>
    <row r="119" spans="2:2" x14ac:dyDescent="0.2">
      <c r="B119" s="118"/>
    </row>
    <row r="120" spans="2:2" x14ac:dyDescent="0.2">
      <c r="B120" s="118"/>
    </row>
    <row r="121" spans="2:2" x14ac:dyDescent="0.2">
      <c r="B121" s="118"/>
    </row>
    <row r="122" spans="2:2" x14ac:dyDescent="0.2">
      <c r="B122" s="118"/>
    </row>
    <row r="123" spans="2:2" x14ac:dyDescent="0.2">
      <c r="B123" s="118"/>
    </row>
    <row r="124" spans="2:2" x14ac:dyDescent="0.2">
      <c r="B124" s="118"/>
    </row>
    <row r="125" spans="2:2" x14ac:dyDescent="0.2">
      <c r="B125" s="118"/>
    </row>
    <row r="126" spans="2:2" x14ac:dyDescent="0.2">
      <c r="B126" s="118"/>
    </row>
    <row r="127" spans="2:2" x14ac:dyDescent="0.2">
      <c r="B127" s="118"/>
    </row>
    <row r="128" spans="2:2" x14ac:dyDescent="0.2">
      <c r="B128" s="118"/>
    </row>
    <row r="129" spans="2:2" x14ac:dyDescent="0.2">
      <c r="B129" s="118"/>
    </row>
    <row r="130" spans="2:2" x14ac:dyDescent="0.2">
      <c r="B130" s="118"/>
    </row>
    <row r="131" spans="2:2" x14ac:dyDescent="0.2">
      <c r="B131" s="118"/>
    </row>
    <row r="132" spans="2:2" x14ac:dyDescent="0.2">
      <c r="B132" s="118"/>
    </row>
    <row r="133" spans="2:2" x14ac:dyDescent="0.2">
      <c r="B133" s="118"/>
    </row>
    <row r="134" spans="2:2" x14ac:dyDescent="0.2">
      <c r="B134" s="118"/>
    </row>
    <row r="135" spans="2:2" x14ac:dyDescent="0.2">
      <c r="B135" s="118"/>
    </row>
    <row r="136" spans="2:2" x14ac:dyDescent="0.2">
      <c r="B136" s="118"/>
    </row>
    <row r="137" spans="2:2" x14ac:dyDescent="0.2">
      <c r="B137" s="118"/>
    </row>
    <row r="138" spans="2:2" x14ac:dyDescent="0.2">
      <c r="B138" s="118"/>
    </row>
    <row r="139" spans="2:2" x14ac:dyDescent="0.2">
      <c r="B139" s="118"/>
    </row>
    <row r="140" spans="2:2" x14ac:dyDescent="0.2">
      <c r="B140" s="118"/>
    </row>
    <row r="141" spans="2:2" x14ac:dyDescent="0.2">
      <c r="B141" s="118"/>
    </row>
    <row r="142" spans="2:2" x14ac:dyDescent="0.2">
      <c r="B142" s="118"/>
    </row>
    <row r="143" spans="2:2" x14ac:dyDescent="0.2">
      <c r="B143" s="118"/>
    </row>
    <row r="144" spans="2:2" x14ac:dyDescent="0.2">
      <c r="B144" s="118"/>
    </row>
    <row r="145" spans="2:2" x14ac:dyDescent="0.2">
      <c r="B145" s="118"/>
    </row>
    <row r="146" spans="2:2" x14ac:dyDescent="0.2">
      <c r="B146" s="118"/>
    </row>
    <row r="147" spans="2:2" x14ac:dyDescent="0.2">
      <c r="B147" s="118"/>
    </row>
    <row r="148" spans="2:2" x14ac:dyDescent="0.2">
      <c r="B148" s="118"/>
    </row>
    <row r="149" spans="2:2" x14ac:dyDescent="0.2">
      <c r="B149" s="118"/>
    </row>
    <row r="150" spans="2:2" x14ac:dyDescent="0.2">
      <c r="B150" s="118"/>
    </row>
    <row r="151" spans="2:2" x14ac:dyDescent="0.2">
      <c r="B151" s="118"/>
    </row>
    <row r="152" spans="2:2" x14ac:dyDescent="0.2">
      <c r="B152" s="118"/>
    </row>
    <row r="153" spans="2:2" x14ac:dyDescent="0.2">
      <c r="B153" s="118"/>
    </row>
    <row r="154" spans="2:2" x14ac:dyDescent="0.2">
      <c r="B154" s="118"/>
    </row>
    <row r="155" spans="2:2" x14ac:dyDescent="0.2">
      <c r="B155" s="118"/>
    </row>
    <row r="156" spans="2:2" x14ac:dyDescent="0.2">
      <c r="B156" s="118"/>
    </row>
    <row r="157" spans="2:2" x14ac:dyDescent="0.2">
      <c r="B157" s="118"/>
    </row>
    <row r="158" spans="2:2" x14ac:dyDescent="0.2">
      <c r="B158" s="118"/>
    </row>
    <row r="159" spans="2:2" x14ac:dyDescent="0.2">
      <c r="B159" s="118"/>
    </row>
    <row r="160" spans="2:2" x14ac:dyDescent="0.2">
      <c r="B160" s="118"/>
    </row>
    <row r="161" spans="2:2" x14ac:dyDescent="0.2">
      <c r="B161" s="118"/>
    </row>
    <row r="162" spans="2:2" x14ac:dyDescent="0.2">
      <c r="B162" s="118"/>
    </row>
    <row r="163" spans="2:2" x14ac:dyDescent="0.2">
      <c r="B163" s="118"/>
    </row>
    <row r="164" spans="2:2" x14ac:dyDescent="0.2">
      <c r="B164" s="118"/>
    </row>
    <row r="165" spans="2:2" x14ac:dyDescent="0.2">
      <c r="B165" s="118"/>
    </row>
    <row r="166" spans="2:2" x14ac:dyDescent="0.2">
      <c r="B166" s="118"/>
    </row>
    <row r="167" spans="2:2" x14ac:dyDescent="0.2">
      <c r="B167" s="118"/>
    </row>
    <row r="168" spans="2:2" x14ac:dyDescent="0.2">
      <c r="B168" s="118"/>
    </row>
    <row r="169" spans="2:2" x14ac:dyDescent="0.2">
      <c r="B169" s="118"/>
    </row>
    <row r="170" spans="2:2" x14ac:dyDescent="0.2">
      <c r="B170" s="118"/>
    </row>
    <row r="171" spans="2:2" x14ac:dyDescent="0.2">
      <c r="B171" s="118"/>
    </row>
    <row r="172" spans="2:2" x14ac:dyDescent="0.2">
      <c r="B172" s="118"/>
    </row>
    <row r="173" spans="2:2" x14ac:dyDescent="0.2">
      <c r="B173" s="118"/>
    </row>
    <row r="174" spans="2:2" x14ac:dyDescent="0.2">
      <c r="B174" s="118"/>
    </row>
    <row r="175" spans="2:2" x14ac:dyDescent="0.2">
      <c r="B175" s="118"/>
    </row>
    <row r="176" spans="2:2" x14ac:dyDescent="0.2">
      <c r="B176" s="118"/>
    </row>
    <row r="177" spans="2:2" x14ac:dyDescent="0.2">
      <c r="B177" s="118"/>
    </row>
    <row r="178" spans="2:2" x14ac:dyDescent="0.2">
      <c r="B178" s="118"/>
    </row>
    <row r="179" spans="2:2" x14ac:dyDescent="0.2">
      <c r="B179" s="118"/>
    </row>
    <row r="180" spans="2:2" x14ac:dyDescent="0.2">
      <c r="B180" s="118"/>
    </row>
    <row r="181" spans="2:2" x14ac:dyDescent="0.2">
      <c r="B181" s="118"/>
    </row>
    <row r="182" spans="2:2" x14ac:dyDescent="0.2">
      <c r="B182" s="118"/>
    </row>
    <row r="183" spans="2:2" x14ac:dyDescent="0.2">
      <c r="B183" s="118"/>
    </row>
    <row r="184" spans="2:2" x14ac:dyDescent="0.2">
      <c r="B184" s="118"/>
    </row>
    <row r="185" spans="2:2" x14ac:dyDescent="0.2">
      <c r="B185" s="118"/>
    </row>
    <row r="186" spans="2:2" x14ac:dyDescent="0.2">
      <c r="B186" s="118"/>
    </row>
    <row r="187" spans="2:2" x14ac:dyDescent="0.2">
      <c r="B187" s="118"/>
    </row>
    <row r="188" spans="2:2" x14ac:dyDescent="0.2">
      <c r="B188" s="118"/>
    </row>
    <row r="189" spans="2:2" x14ac:dyDescent="0.2">
      <c r="B189" s="118"/>
    </row>
    <row r="190" spans="2:2" x14ac:dyDescent="0.2">
      <c r="B190" s="118"/>
    </row>
    <row r="191" spans="2:2" x14ac:dyDescent="0.2">
      <c r="B191" s="118"/>
    </row>
    <row r="192" spans="2:2" x14ac:dyDescent="0.2">
      <c r="B192" s="118"/>
    </row>
    <row r="193" spans="2:2" x14ac:dyDescent="0.2">
      <c r="B193" s="118"/>
    </row>
    <row r="194" spans="2:2" x14ac:dyDescent="0.2">
      <c r="B194" s="118"/>
    </row>
    <row r="195" spans="2:2" x14ac:dyDescent="0.2">
      <c r="B195" s="118"/>
    </row>
    <row r="196" spans="2:2" x14ac:dyDescent="0.2">
      <c r="B196" s="118"/>
    </row>
    <row r="197" spans="2:2" x14ac:dyDescent="0.2">
      <c r="B197" s="118"/>
    </row>
    <row r="198" spans="2:2" x14ac:dyDescent="0.2">
      <c r="B198" s="118"/>
    </row>
    <row r="199" spans="2:2" x14ac:dyDescent="0.2">
      <c r="B199" s="118"/>
    </row>
    <row r="200" spans="2:2" x14ac:dyDescent="0.2">
      <c r="B200" s="118"/>
    </row>
    <row r="201" spans="2:2" x14ac:dyDescent="0.2">
      <c r="B201" s="118"/>
    </row>
    <row r="202" spans="2:2" x14ac:dyDescent="0.2">
      <c r="B202" s="118"/>
    </row>
    <row r="203" spans="2:2" x14ac:dyDescent="0.2">
      <c r="B203" s="118"/>
    </row>
    <row r="204" spans="2:2" x14ac:dyDescent="0.2">
      <c r="B204" s="118"/>
    </row>
    <row r="205" spans="2:2" x14ac:dyDescent="0.2">
      <c r="B205" s="118"/>
    </row>
    <row r="206" spans="2:2" x14ac:dyDescent="0.2">
      <c r="B206" s="118"/>
    </row>
    <row r="207" spans="2:2" x14ac:dyDescent="0.2">
      <c r="B207" s="118"/>
    </row>
    <row r="208" spans="2:2" x14ac:dyDescent="0.2">
      <c r="B208" s="118"/>
    </row>
    <row r="209" spans="2:2" x14ac:dyDescent="0.2">
      <c r="B209" s="118"/>
    </row>
    <row r="210" spans="2:2" x14ac:dyDescent="0.2">
      <c r="B210" s="118"/>
    </row>
    <row r="211" spans="2:2" x14ac:dyDescent="0.2">
      <c r="B211" s="118"/>
    </row>
    <row r="212" spans="2:2" x14ac:dyDescent="0.2">
      <c r="B212" s="118"/>
    </row>
    <row r="213" spans="2:2" x14ac:dyDescent="0.2">
      <c r="B213" s="118"/>
    </row>
    <row r="214" spans="2:2" x14ac:dyDescent="0.2">
      <c r="B214" s="118"/>
    </row>
    <row r="215" spans="2:2" x14ac:dyDescent="0.2">
      <c r="B215" s="118"/>
    </row>
    <row r="216" spans="2:2" x14ac:dyDescent="0.2">
      <c r="B216" s="118"/>
    </row>
    <row r="217" spans="2:2" x14ac:dyDescent="0.2">
      <c r="B217" s="118"/>
    </row>
    <row r="218" spans="2:2" x14ac:dyDescent="0.2">
      <c r="B218" s="118"/>
    </row>
    <row r="219" spans="2:2" x14ac:dyDescent="0.2">
      <c r="B219" s="118"/>
    </row>
    <row r="220" spans="2:2" x14ac:dyDescent="0.2">
      <c r="B220" s="118"/>
    </row>
    <row r="221" spans="2:2" x14ac:dyDescent="0.2">
      <c r="B221" s="118"/>
    </row>
    <row r="222" spans="2:2" x14ac:dyDescent="0.2">
      <c r="B222" s="118"/>
    </row>
    <row r="223" spans="2:2" x14ac:dyDescent="0.2">
      <c r="B223" s="118"/>
    </row>
    <row r="224" spans="2:2" x14ac:dyDescent="0.2">
      <c r="B224" s="118"/>
    </row>
    <row r="225" spans="2:2" x14ac:dyDescent="0.2">
      <c r="B225" s="118"/>
    </row>
    <row r="226" spans="2:2" x14ac:dyDescent="0.2">
      <c r="B226" s="118"/>
    </row>
    <row r="227" spans="2:2" x14ac:dyDescent="0.2">
      <c r="B227" s="118"/>
    </row>
    <row r="228" spans="2:2" x14ac:dyDescent="0.2">
      <c r="B228" s="118"/>
    </row>
    <row r="229" spans="2:2" x14ac:dyDescent="0.2">
      <c r="B229" s="118"/>
    </row>
    <row r="230" spans="2:2" x14ac:dyDescent="0.2">
      <c r="B230" s="118"/>
    </row>
    <row r="231" spans="2:2" x14ac:dyDescent="0.2">
      <c r="B231" s="118"/>
    </row>
    <row r="232" spans="2:2" x14ac:dyDescent="0.2">
      <c r="B232" s="118"/>
    </row>
    <row r="233" spans="2:2" x14ac:dyDescent="0.2">
      <c r="B233" s="118"/>
    </row>
    <row r="234" spans="2:2" x14ac:dyDescent="0.2">
      <c r="B234" s="118"/>
    </row>
    <row r="235" spans="2:2" x14ac:dyDescent="0.2">
      <c r="B235" s="118"/>
    </row>
    <row r="236" spans="2:2" x14ac:dyDescent="0.2">
      <c r="B236" s="118"/>
    </row>
    <row r="237" spans="2:2" x14ac:dyDescent="0.2">
      <c r="B237" s="118"/>
    </row>
    <row r="238" spans="2:2" x14ac:dyDescent="0.2">
      <c r="B238" s="118"/>
    </row>
    <row r="239" spans="2:2" x14ac:dyDescent="0.2">
      <c r="B239" s="118"/>
    </row>
    <row r="240" spans="2:2" x14ac:dyDescent="0.2">
      <c r="B240" s="118"/>
    </row>
    <row r="241" spans="2:2" x14ac:dyDescent="0.2">
      <c r="B241" s="118"/>
    </row>
    <row r="242" spans="2:2" x14ac:dyDescent="0.2">
      <c r="B242" s="118"/>
    </row>
    <row r="243" spans="2:2" x14ac:dyDescent="0.2">
      <c r="B243" s="118"/>
    </row>
    <row r="244" spans="2:2" x14ac:dyDescent="0.2">
      <c r="B244" s="118"/>
    </row>
    <row r="245" spans="2:2" x14ac:dyDescent="0.2">
      <c r="B245" s="118"/>
    </row>
    <row r="246" spans="2:2" x14ac:dyDescent="0.2">
      <c r="B246" s="118"/>
    </row>
    <row r="247" spans="2:2" x14ac:dyDescent="0.2">
      <c r="B247" s="118"/>
    </row>
    <row r="248" spans="2:2" x14ac:dyDescent="0.2">
      <c r="B248" s="118"/>
    </row>
    <row r="249" spans="2:2" x14ac:dyDescent="0.2">
      <c r="B249" s="118"/>
    </row>
    <row r="250" spans="2:2" x14ac:dyDescent="0.2">
      <c r="B250" s="118"/>
    </row>
    <row r="251" spans="2:2" x14ac:dyDescent="0.2">
      <c r="B251" s="118"/>
    </row>
    <row r="252" spans="2:2" x14ac:dyDescent="0.2">
      <c r="B252" s="118"/>
    </row>
    <row r="253" spans="2:2" x14ac:dyDescent="0.2">
      <c r="B253" s="118"/>
    </row>
    <row r="254" spans="2:2" x14ac:dyDescent="0.2">
      <c r="B254" s="118"/>
    </row>
    <row r="255" spans="2:2" x14ac:dyDescent="0.2">
      <c r="B255" s="118"/>
    </row>
    <row r="256" spans="2:2" x14ac:dyDescent="0.2">
      <c r="B256" s="118"/>
    </row>
    <row r="257" spans="2:2" x14ac:dyDescent="0.2">
      <c r="B257" s="118"/>
    </row>
    <row r="258" spans="2:2" x14ac:dyDescent="0.2">
      <c r="B258" s="118"/>
    </row>
    <row r="259" spans="2:2" x14ac:dyDescent="0.2">
      <c r="B259" s="118"/>
    </row>
    <row r="260" spans="2:2" x14ac:dyDescent="0.2">
      <c r="B260" s="118"/>
    </row>
    <row r="261" spans="2:2" x14ac:dyDescent="0.2">
      <c r="B261" s="118"/>
    </row>
    <row r="262" spans="2:2" x14ac:dyDescent="0.2">
      <c r="B262" s="118"/>
    </row>
    <row r="263" spans="2:2" x14ac:dyDescent="0.2">
      <c r="B263" s="118"/>
    </row>
    <row r="264" spans="2:2" x14ac:dyDescent="0.2">
      <c r="B264" s="118"/>
    </row>
    <row r="265" spans="2:2" x14ac:dyDescent="0.2">
      <c r="B265" s="118"/>
    </row>
    <row r="266" spans="2:2" x14ac:dyDescent="0.2">
      <c r="B266" s="118"/>
    </row>
    <row r="267" spans="2:2" x14ac:dyDescent="0.2">
      <c r="B267" s="118"/>
    </row>
    <row r="268" spans="2:2" x14ac:dyDescent="0.2">
      <c r="B268" s="118"/>
    </row>
    <row r="269" spans="2:2" x14ac:dyDescent="0.2">
      <c r="B269" s="118"/>
    </row>
    <row r="270" spans="2:2" x14ac:dyDescent="0.2">
      <c r="B270" s="118"/>
    </row>
    <row r="271" spans="2:2" x14ac:dyDescent="0.2">
      <c r="B271" s="118"/>
    </row>
    <row r="272" spans="2:2" x14ac:dyDescent="0.2">
      <c r="B272" s="118"/>
    </row>
    <row r="273" spans="2:2" x14ac:dyDescent="0.2">
      <c r="B273" s="118"/>
    </row>
    <row r="274" spans="2:2" x14ac:dyDescent="0.2">
      <c r="B274" s="118"/>
    </row>
    <row r="275" spans="2:2" x14ac:dyDescent="0.2">
      <c r="B275" s="118"/>
    </row>
    <row r="276" spans="2:2" x14ac:dyDescent="0.2">
      <c r="B276" s="118"/>
    </row>
    <row r="277" spans="2:2" x14ac:dyDescent="0.2">
      <c r="B277" s="118"/>
    </row>
    <row r="278" spans="2:2" x14ac:dyDescent="0.2">
      <c r="B278" s="118"/>
    </row>
    <row r="279" spans="2:2" x14ac:dyDescent="0.2">
      <c r="B279" s="118"/>
    </row>
    <row r="280" spans="2:2" x14ac:dyDescent="0.2">
      <c r="B280" s="118"/>
    </row>
    <row r="281" spans="2:2" x14ac:dyDescent="0.2">
      <c r="B281" s="118"/>
    </row>
    <row r="282" spans="2:2" x14ac:dyDescent="0.2">
      <c r="B282" s="118"/>
    </row>
    <row r="283" spans="2:2" x14ac:dyDescent="0.2">
      <c r="B283" s="118"/>
    </row>
    <row r="284" spans="2:2" x14ac:dyDescent="0.2">
      <c r="B284" s="118"/>
    </row>
    <row r="285" spans="2:2" x14ac:dyDescent="0.2">
      <c r="B285" s="118"/>
    </row>
    <row r="286" spans="2:2" x14ac:dyDescent="0.2">
      <c r="B286" s="118"/>
    </row>
    <row r="287" spans="2:2" x14ac:dyDescent="0.2">
      <c r="B287" s="118"/>
    </row>
    <row r="288" spans="2:2" x14ac:dyDescent="0.2">
      <c r="B288" s="118"/>
    </row>
    <row r="289" spans="2:2" x14ac:dyDescent="0.2">
      <c r="B289" s="118"/>
    </row>
    <row r="290" spans="2:2" x14ac:dyDescent="0.2">
      <c r="B290" s="118"/>
    </row>
    <row r="291" spans="2:2" x14ac:dyDescent="0.2">
      <c r="B291" s="118"/>
    </row>
    <row r="292" spans="2:2" x14ac:dyDescent="0.2">
      <c r="B292" s="118"/>
    </row>
    <row r="293" spans="2:2" x14ac:dyDescent="0.2">
      <c r="B293" s="118"/>
    </row>
    <row r="294" spans="2:2" x14ac:dyDescent="0.2">
      <c r="B294" s="118"/>
    </row>
    <row r="295" spans="2:2" x14ac:dyDescent="0.2">
      <c r="B295" s="118"/>
    </row>
    <row r="296" spans="2:2" x14ac:dyDescent="0.2">
      <c r="B296" s="118"/>
    </row>
    <row r="297" spans="2:2" x14ac:dyDescent="0.2">
      <c r="B297" s="118"/>
    </row>
    <row r="298" spans="2:2" x14ac:dyDescent="0.2">
      <c r="B298" s="118"/>
    </row>
    <row r="299" spans="2:2" x14ac:dyDescent="0.2">
      <c r="B299" s="118"/>
    </row>
    <row r="300" spans="2:2" x14ac:dyDescent="0.2">
      <c r="B300" s="118"/>
    </row>
    <row r="301" spans="2:2" x14ac:dyDescent="0.2">
      <c r="B301" s="118"/>
    </row>
    <row r="302" spans="2:2" x14ac:dyDescent="0.2">
      <c r="B302" s="118"/>
    </row>
    <row r="303" spans="2:2" x14ac:dyDescent="0.2">
      <c r="B303" s="118"/>
    </row>
    <row r="304" spans="2:2" x14ac:dyDescent="0.2">
      <c r="B304" s="118"/>
    </row>
    <row r="305" spans="2:2" x14ac:dyDescent="0.2">
      <c r="B305" s="118"/>
    </row>
    <row r="306" spans="2:2" x14ac:dyDescent="0.2">
      <c r="B306" s="118"/>
    </row>
    <row r="307" spans="2:2" x14ac:dyDescent="0.2">
      <c r="B307" s="118"/>
    </row>
    <row r="308" spans="2:2" x14ac:dyDescent="0.2">
      <c r="B308" s="118"/>
    </row>
    <row r="309" spans="2:2" x14ac:dyDescent="0.2">
      <c r="B309" s="118"/>
    </row>
    <row r="310" spans="2:2" x14ac:dyDescent="0.2">
      <c r="B310" s="118"/>
    </row>
    <row r="311" spans="2:2" x14ac:dyDescent="0.2">
      <c r="B311" s="118"/>
    </row>
    <row r="312" spans="2:2" x14ac:dyDescent="0.2">
      <c r="B312" s="118"/>
    </row>
    <row r="313" spans="2:2" x14ac:dyDescent="0.2">
      <c r="B313" s="118"/>
    </row>
    <row r="314" spans="2:2" x14ac:dyDescent="0.2">
      <c r="B314" s="118"/>
    </row>
    <row r="315" spans="2:2" x14ac:dyDescent="0.2">
      <c r="B315" s="118"/>
    </row>
    <row r="316" spans="2:2" x14ac:dyDescent="0.2">
      <c r="B316" s="118"/>
    </row>
    <row r="317" spans="2:2" x14ac:dyDescent="0.2">
      <c r="B317" s="118"/>
    </row>
    <row r="318" spans="2:2" x14ac:dyDescent="0.2">
      <c r="B318" s="118"/>
    </row>
    <row r="319" spans="2:2" x14ac:dyDescent="0.2">
      <c r="B319" s="118"/>
    </row>
    <row r="320" spans="2:2" x14ac:dyDescent="0.2">
      <c r="B320" s="118"/>
    </row>
    <row r="321" spans="2:2" x14ac:dyDescent="0.2">
      <c r="B321" s="118"/>
    </row>
    <row r="322" spans="2:2" x14ac:dyDescent="0.2">
      <c r="B322" s="118"/>
    </row>
    <row r="323" spans="2:2" x14ac:dyDescent="0.2">
      <c r="B323" s="118"/>
    </row>
    <row r="324" spans="2:2" x14ac:dyDescent="0.2">
      <c r="B324" s="118"/>
    </row>
    <row r="325" spans="2:2" x14ac:dyDescent="0.2">
      <c r="B325" s="118"/>
    </row>
    <row r="326" spans="2:2" x14ac:dyDescent="0.2">
      <c r="B326" s="118"/>
    </row>
    <row r="327" spans="2:2" x14ac:dyDescent="0.2">
      <c r="B327" s="118"/>
    </row>
    <row r="328" spans="2:2" x14ac:dyDescent="0.2">
      <c r="B328" s="118"/>
    </row>
    <row r="329" spans="2:2" x14ac:dyDescent="0.2">
      <c r="B329" s="118"/>
    </row>
    <row r="330" spans="2:2" x14ac:dyDescent="0.2">
      <c r="B330" s="118"/>
    </row>
    <row r="331" spans="2:2" x14ac:dyDescent="0.2">
      <c r="B331" s="118"/>
    </row>
    <row r="332" spans="2:2" x14ac:dyDescent="0.2">
      <c r="B332" s="118"/>
    </row>
    <row r="333" spans="2:2" x14ac:dyDescent="0.2">
      <c r="B333" s="118"/>
    </row>
    <row r="334" spans="2:2" x14ac:dyDescent="0.2">
      <c r="B334" s="118"/>
    </row>
    <row r="335" spans="2:2" x14ac:dyDescent="0.2">
      <c r="B335" s="118"/>
    </row>
    <row r="336" spans="2:2" x14ac:dyDescent="0.2">
      <c r="B336" s="118"/>
    </row>
    <row r="337" spans="2:2" x14ac:dyDescent="0.2">
      <c r="B337" s="118"/>
    </row>
    <row r="338" spans="2:2" x14ac:dyDescent="0.2">
      <c r="B338" s="118"/>
    </row>
    <row r="339" spans="2:2" x14ac:dyDescent="0.2">
      <c r="B339" s="118"/>
    </row>
    <row r="340" spans="2:2" x14ac:dyDescent="0.2">
      <c r="B340" s="118"/>
    </row>
    <row r="341" spans="2:2" x14ac:dyDescent="0.2">
      <c r="B341" s="118"/>
    </row>
    <row r="342" spans="2:2" x14ac:dyDescent="0.2">
      <c r="B342" s="118"/>
    </row>
    <row r="343" spans="2:2" x14ac:dyDescent="0.2">
      <c r="B343" s="118"/>
    </row>
    <row r="344" spans="2:2" x14ac:dyDescent="0.2">
      <c r="B344" s="118"/>
    </row>
    <row r="345" spans="2:2" x14ac:dyDescent="0.2">
      <c r="B345" s="118"/>
    </row>
    <row r="346" spans="2:2" x14ac:dyDescent="0.2">
      <c r="B346" s="118"/>
    </row>
    <row r="347" spans="2:2" x14ac:dyDescent="0.2">
      <c r="B347" s="118"/>
    </row>
    <row r="348" spans="2:2" x14ac:dyDescent="0.2">
      <c r="B348" s="118"/>
    </row>
    <row r="349" spans="2:2" x14ac:dyDescent="0.2">
      <c r="B349" s="118"/>
    </row>
    <row r="350" spans="2:2" x14ac:dyDescent="0.2">
      <c r="B350" s="118"/>
    </row>
    <row r="351" spans="2:2" x14ac:dyDescent="0.2">
      <c r="B351" s="118"/>
    </row>
    <row r="352" spans="2:2" x14ac:dyDescent="0.2">
      <c r="B352" s="118"/>
    </row>
    <row r="353" spans="2:2" x14ac:dyDescent="0.2">
      <c r="B353" s="118"/>
    </row>
    <row r="354" spans="2:2" x14ac:dyDescent="0.2">
      <c r="B354" s="118"/>
    </row>
    <row r="355" spans="2:2" x14ac:dyDescent="0.2">
      <c r="B355" s="118"/>
    </row>
    <row r="356" spans="2:2" x14ac:dyDescent="0.2">
      <c r="B356" s="118"/>
    </row>
    <row r="357" spans="2:2" x14ac:dyDescent="0.2">
      <c r="B357" s="118"/>
    </row>
    <row r="358" spans="2:2" x14ac:dyDescent="0.2">
      <c r="B358" s="118"/>
    </row>
    <row r="359" spans="2:2" x14ac:dyDescent="0.2">
      <c r="B359" s="118"/>
    </row>
    <row r="360" spans="2:2" x14ac:dyDescent="0.2">
      <c r="B360" s="118"/>
    </row>
    <row r="361" spans="2:2" x14ac:dyDescent="0.2">
      <c r="B361" s="118"/>
    </row>
    <row r="362" spans="2:2" x14ac:dyDescent="0.2">
      <c r="B362" s="118"/>
    </row>
    <row r="363" spans="2:2" x14ac:dyDescent="0.2">
      <c r="B363" s="118"/>
    </row>
    <row r="364" spans="2:2" x14ac:dyDescent="0.2">
      <c r="B364" s="118"/>
    </row>
    <row r="365" spans="2:2" x14ac:dyDescent="0.2">
      <c r="B365" s="118"/>
    </row>
    <row r="366" spans="2:2" x14ac:dyDescent="0.2">
      <c r="B366" s="118"/>
    </row>
    <row r="367" spans="2:2" x14ac:dyDescent="0.2">
      <c r="B367" s="118"/>
    </row>
    <row r="368" spans="2:2" x14ac:dyDescent="0.2">
      <c r="B368" s="118"/>
    </row>
    <row r="369" spans="2:2" x14ac:dyDescent="0.2">
      <c r="B369" s="118"/>
    </row>
    <row r="370" spans="2:2" x14ac:dyDescent="0.2">
      <c r="B370" s="118"/>
    </row>
    <row r="371" spans="2:2" x14ac:dyDescent="0.2">
      <c r="B371" s="118"/>
    </row>
    <row r="372" spans="2:2" x14ac:dyDescent="0.2">
      <c r="B372" s="118"/>
    </row>
    <row r="373" spans="2:2" x14ac:dyDescent="0.2">
      <c r="B373" s="118"/>
    </row>
    <row r="374" spans="2:2" x14ac:dyDescent="0.2">
      <c r="B374" s="118"/>
    </row>
    <row r="375" spans="2:2" x14ac:dyDescent="0.2">
      <c r="B375" s="118"/>
    </row>
    <row r="376" spans="2:2" x14ac:dyDescent="0.2">
      <c r="B376" s="118"/>
    </row>
    <row r="377" spans="2:2" x14ac:dyDescent="0.2">
      <c r="B377" s="118"/>
    </row>
    <row r="378" spans="2:2" x14ac:dyDescent="0.2">
      <c r="B378" s="118"/>
    </row>
    <row r="379" spans="2:2" x14ac:dyDescent="0.2">
      <c r="B379" s="118"/>
    </row>
    <row r="380" spans="2:2" x14ac:dyDescent="0.2">
      <c r="B380" s="118"/>
    </row>
    <row r="381" spans="2:2" x14ac:dyDescent="0.2">
      <c r="B381" s="118"/>
    </row>
    <row r="382" spans="2:2" x14ac:dyDescent="0.2">
      <c r="B382" s="118"/>
    </row>
    <row r="383" spans="2:2" x14ac:dyDescent="0.2">
      <c r="B383" s="118"/>
    </row>
    <row r="384" spans="2:2" x14ac:dyDescent="0.2">
      <c r="B384" s="118"/>
    </row>
    <row r="385" spans="2:2" x14ac:dyDescent="0.2">
      <c r="B385" s="118"/>
    </row>
    <row r="386" spans="2:2" x14ac:dyDescent="0.2">
      <c r="B386" s="118"/>
    </row>
    <row r="387" spans="2:2" x14ac:dyDescent="0.2">
      <c r="B387" s="118"/>
    </row>
    <row r="388" spans="2:2" x14ac:dyDescent="0.2">
      <c r="B388" s="118"/>
    </row>
    <row r="389" spans="2:2" x14ac:dyDescent="0.2">
      <c r="B389" s="118"/>
    </row>
    <row r="390" spans="2:2" x14ac:dyDescent="0.2">
      <c r="B390" s="118"/>
    </row>
    <row r="391" spans="2:2" x14ac:dyDescent="0.2">
      <c r="B391" s="118"/>
    </row>
    <row r="392" spans="2:2" x14ac:dyDescent="0.2">
      <c r="B392" s="118"/>
    </row>
    <row r="393" spans="2:2" x14ac:dyDescent="0.2">
      <c r="B393" s="118"/>
    </row>
    <row r="394" spans="2:2" x14ac:dyDescent="0.2">
      <c r="B394" s="118"/>
    </row>
    <row r="395" spans="2:2" x14ac:dyDescent="0.2">
      <c r="B395" s="118"/>
    </row>
    <row r="396" spans="2:2" x14ac:dyDescent="0.2">
      <c r="B396" s="118"/>
    </row>
    <row r="397" spans="2:2" x14ac:dyDescent="0.2">
      <c r="B397" s="118"/>
    </row>
    <row r="398" spans="2:2" x14ac:dyDescent="0.2">
      <c r="B398" s="118"/>
    </row>
    <row r="399" spans="2:2" x14ac:dyDescent="0.2">
      <c r="B399" s="118"/>
    </row>
    <row r="400" spans="2:2" x14ac:dyDescent="0.2">
      <c r="B400" s="118"/>
    </row>
    <row r="401" spans="2:2" x14ac:dyDescent="0.2">
      <c r="B401" s="118"/>
    </row>
    <row r="402" spans="2:2" x14ac:dyDescent="0.2">
      <c r="B402" s="118"/>
    </row>
    <row r="403" spans="2:2" x14ac:dyDescent="0.2">
      <c r="B403" s="118"/>
    </row>
    <row r="404" spans="2:2" x14ac:dyDescent="0.2">
      <c r="B404" s="118"/>
    </row>
    <row r="405" spans="2:2" x14ac:dyDescent="0.2">
      <c r="B405" s="118"/>
    </row>
    <row r="406" spans="2:2" x14ac:dyDescent="0.2">
      <c r="B406" s="118"/>
    </row>
    <row r="407" spans="2:2" x14ac:dyDescent="0.2">
      <c r="B407" s="118"/>
    </row>
    <row r="408" spans="2:2" x14ac:dyDescent="0.2">
      <c r="B408" s="118"/>
    </row>
    <row r="409" spans="2:2" x14ac:dyDescent="0.2">
      <c r="B409" s="118"/>
    </row>
    <row r="410" spans="2:2" x14ac:dyDescent="0.2">
      <c r="B410" s="118"/>
    </row>
    <row r="411" spans="2:2" x14ac:dyDescent="0.2">
      <c r="B411" s="118"/>
    </row>
    <row r="412" spans="2:2" x14ac:dyDescent="0.2">
      <c r="B412" s="118"/>
    </row>
    <row r="413" spans="2:2" x14ac:dyDescent="0.2">
      <c r="B413" s="118"/>
    </row>
    <row r="414" spans="2:2" x14ac:dyDescent="0.2">
      <c r="B414" s="118"/>
    </row>
    <row r="415" spans="2:2" x14ac:dyDescent="0.2">
      <c r="B415" s="118"/>
    </row>
    <row r="416" spans="2:2" x14ac:dyDescent="0.2">
      <c r="B416" s="118"/>
    </row>
    <row r="417" spans="2:2" x14ac:dyDescent="0.2">
      <c r="B417" s="118"/>
    </row>
    <row r="418" spans="2:2" x14ac:dyDescent="0.2">
      <c r="B418" s="118"/>
    </row>
    <row r="419" spans="2:2" x14ac:dyDescent="0.2">
      <c r="B419" s="118"/>
    </row>
    <row r="420" spans="2:2" x14ac:dyDescent="0.2">
      <c r="B420" s="118"/>
    </row>
    <row r="421" spans="2:2" x14ac:dyDescent="0.2">
      <c r="B421" s="118"/>
    </row>
    <row r="422" spans="2:2" x14ac:dyDescent="0.2">
      <c r="B422" s="118"/>
    </row>
    <row r="423" spans="2:2" x14ac:dyDescent="0.2">
      <c r="B423" s="118"/>
    </row>
    <row r="424" spans="2:2" x14ac:dyDescent="0.2">
      <c r="B424" s="118"/>
    </row>
    <row r="425" spans="2:2" x14ac:dyDescent="0.2">
      <c r="B425" s="118"/>
    </row>
    <row r="426" spans="2:2" x14ac:dyDescent="0.2">
      <c r="B426" s="118"/>
    </row>
    <row r="427" spans="2:2" x14ac:dyDescent="0.2">
      <c r="B427" s="118"/>
    </row>
    <row r="428" spans="2:2" x14ac:dyDescent="0.2">
      <c r="B428" s="118"/>
    </row>
    <row r="429" spans="2:2" x14ac:dyDescent="0.2">
      <c r="B429" s="118"/>
    </row>
    <row r="430" spans="2:2" x14ac:dyDescent="0.2">
      <c r="B430" s="118"/>
    </row>
    <row r="431" spans="2:2" x14ac:dyDescent="0.2">
      <c r="B431" s="118"/>
    </row>
    <row r="432" spans="2:2" x14ac:dyDescent="0.2">
      <c r="B432" s="118"/>
    </row>
    <row r="433" spans="2:2" x14ac:dyDescent="0.2">
      <c r="B433" s="118"/>
    </row>
    <row r="434" spans="2:2" x14ac:dyDescent="0.2">
      <c r="B434" s="118"/>
    </row>
    <row r="435" spans="2:2" x14ac:dyDescent="0.2">
      <c r="B435" s="118"/>
    </row>
    <row r="436" spans="2:2" x14ac:dyDescent="0.2">
      <c r="B436" s="118"/>
    </row>
    <row r="437" spans="2:2" x14ac:dyDescent="0.2">
      <c r="B437" s="118"/>
    </row>
    <row r="438" spans="2:2" x14ac:dyDescent="0.2">
      <c r="B438" s="118"/>
    </row>
    <row r="439" spans="2:2" x14ac:dyDescent="0.2">
      <c r="B439" s="118"/>
    </row>
    <row r="440" spans="2:2" x14ac:dyDescent="0.2">
      <c r="B440" s="118"/>
    </row>
    <row r="441" spans="2:2" x14ac:dyDescent="0.2">
      <c r="B441" s="118"/>
    </row>
    <row r="442" spans="2:2" x14ac:dyDescent="0.2">
      <c r="B442" s="118"/>
    </row>
    <row r="443" spans="2:2" x14ac:dyDescent="0.2">
      <c r="B443" s="118"/>
    </row>
    <row r="444" spans="2:2" x14ac:dyDescent="0.2">
      <c r="B444" s="118"/>
    </row>
    <row r="445" spans="2:2" x14ac:dyDescent="0.2">
      <c r="B445" s="118"/>
    </row>
    <row r="446" spans="2:2" x14ac:dyDescent="0.2">
      <c r="B446" s="118"/>
    </row>
    <row r="447" spans="2:2" x14ac:dyDescent="0.2">
      <c r="B447" s="118"/>
    </row>
    <row r="448" spans="2:2" x14ac:dyDescent="0.2">
      <c r="B448" s="118"/>
    </row>
    <row r="449" spans="2:2" x14ac:dyDescent="0.2">
      <c r="B449" s="118"/>
    </row>
    <row r="450" spans="2:2" x14ac:dyDescent="0.2">
      <c r="B450" s="118"/>
    </row>
    <row r="451" spans="2:2" x14ac:dyDescent="0.2">
      <c r="B451" s="118"/>
    </row>
    <row r="452" spans="2:2" x14ac:dyDescent="0.2">
      <c r="B452" s="118"/>
    </row>
    <row r="453" spans="2:2" x14ac:dyDescent="0.2">
      <c r="B453" s="118"/>
    </row>
    <row r="454" spans="2:2" x14ac:dyDescent="0.2">
      <c r="B454" s="118"/>
    </row>
    <row r="455" spans="2:2" x14ac:dyDescent="0.2">
      <c r="B455" s="118"/>
    </row>
    <row r="456" spans="2:2" x14ac:dyDescent="0.2">
      <c r="B456" s="118"/>
    </row>
    <row r="457" spans="2:2" x14ac:dyDescent="0.2">
      <c r="B457" s="118"/>
    </row>
    <row r="458" spans="2:2" x14ac:dyDescent="0.2">
      <c r="B458" s="118"/>
    </row>
    <row r="459" spans="2:2" x14ac:dyDescent="0.2">
      <c r="B459" s="118"/>
    </row>
    <row r="460" spans="2:2" x14ac:dyDescent="0.2">
      <c r="B460" s="118"/>
    </row>
    <row r="461" spans="2:2" x14ac:dyDescent="0.2">
      <c r="B461" s="118"/>
    </row>
    <row r="462" spans="2:2" x14ac:dyDescent="0.2">
      <c r="B462" s="118"/>
    </row>
    <row r="463" spans="2:2" x14ac:dyDescent="0.2">
      <c r="B463" s="118"/>
    </row>
    <row r="464" spans="2:2" x14ac:dyDescent="0.2">
      <c r="B464" s="118"/>
    </row>
    <row r="465" spans="2:2" x14ac:dyDescent="0.2">
      <c r="B465" s="118"/>
    </row>
    <row r="466" spans="2:2" x14ac:dyDescent="0.2">
      <c r="B466" s="118"/>
    </row>
    <row r="467" spans="2:2" x14ac:dyDescent="0.2">
      <c r="B467" s="118"/>
    </row>
    <row r="468" spans="2:2" x14ac:dyDescent="0.2">
      <c r="B468" s="118"/>
    </row>
    <row r="469" spans="2:2" x14ac:dyDescent="0.2">
      <c r="B469" s="118"/>
    </row>
    <row r="470" spans="2:2" x14ac:dyDescent="0.2">
      <c r="B470" s="118"/>
    </row>
    <row r="471" spans="2:2" x14ac:dyDescent="0.2">
      <c r="B471" s="118"/>
    </row>
    <row r="472" spans="2:2" x14ac:dyDescent="0.2">
      <c r="B472" s="118"/>
    </row>
    <row r="473" spans="2:2" x14ac:dyDescent="0.2">
      <c r="B473" s="118"/>
    </row>
    <row r="474" spans="2:2" x14ac:dyDescent="0.2">
      <c r="B474" s="118"/>
    </row>
    <row r="475" spans="2:2" x14ac:dyDescent="0.2">
      <c r="B475" s="118"/>
    </row>
    <row r="476" spans="2:2" x14ac:dyDescent="0.2">
      <c r="B476" s="118"/>
    </row>
    <row r="477" spans="2:2" x14ac:dyDescent="0.2">
      <c r="B477" s="118"/>
    </row>
    <row r="478" spans="2:2" x14ac:dyDescent="0.2">
      <c r="B478" s="118"/>
    </row>
    <row r="479" spans="2:2" x14ac:dyDescent="0.2">
      <c r="B479" s="118"/>
    </row>
    <row r="480" spans="2:2" x14ac:dyDescent="0.2">
      <c r="B480" s="118"/>
    </row>
    <row r="481" spans="2:2" x14ac:dyDescent="0.2">
      <c r="B481" s="118"/>
    </row>
    <row r="482" spans="2:2" x14ac:dyDescent="0.2">
      <c r="B482" s="118"/>
    </row>
    <row r="483" spans="2:2" x14ac:dyDescent="0.2">
      <c r="B483" s="118"/>
    </row>
    <row r="484" spans="2:2" x14ac:dyDescent="0.2">
      <c r="B484" s="118"/>
    </row>
    <row r="485" spans="2:2" x14ac:dyDescent="0.2">
      <c r="B485" s="118"/>
    </row>
    <row r="486" spans="2:2" x14ac:dyDescent="0.2">
      <c r="B486" s="118"/>
    </row>
    <row r="487" spans="2:2" x14ac:dyDescent="0.2">
      <c r="B487" s="118"/>
    </row>
    <row r="488" spans="2:2" x14ac:dyDescent="0.2">
      <c r="B488" s="118"/>
    </row>
    <row r="489" spans="2:2" x14ac:dyDescent="0.2">
      <c r="B489" s="118"/>
    </row>
    <row r="490" spans="2:2" x14ac:dyDescent="0.2">
      <c r="B490" s="118"/>
    </row>
    <row r="491" spans="2:2" x14ac:dyDescent="0.2">
      <c r="B491" s="118"/>
    </row>
    <row r="492" spans="2:2" x14ac:dyDescent="0.2">
      <c r="B492" s="118"/>
    </row>
    <row r="493" spans="2:2" x14ac:dyDescent="0.2">
      <c r="B493" s="118"/>
    </row>
    <row r="494" spans="2:2" x14ac:dyDescent="0.2">
      <c r="B494" s="118"/>
    </row>
    <row r="495" spans="2:2" x14ac:dyDescent="0.2">
      <c r="B495" s="118"/>
    </row>
    <row r="496" spans="2:2" x14ac:dyDescent="0.2">
      <c r="B496" s="118"/>
    </row>
    <row r="497" spans="2:2" x14ac:dyDescent="0.2">
      <c r="B497" s="118"/>
    </row>
    <row r="498" spans="2:2" x14ac:dyDescent="0.2">
      <c r="B498" s="118"/>
    </row>
    <row r="499" spans="2:2" x14ac:dyDescent="0.2">
      <c r="B499" s="118"/>
    </row>
    <row r="500" spans="2:2" x14ac:dyDescent="0.2">
      <c r="B500" s="118"/>
    </row>
    <row r="501" spans="2:2" x14ac:dyDescent="0.2">
      <c r="B501" s="118"/>
    </row>
    <row r="502" spans="2:2" x14ac:dyDescent="0.2">
      <c r="B502" s="118"/>
    </row>
    <row r="503" spans="2:2" x14ac:dyDescent="0.2">
      <c r="B503" s="118"/>
    </row>
    <row r="504" spans="2:2" x14ac:dyDescent="0.2">
      <c r="B504" s="118"/>
    </row>
    <row r="505" spans="2:2" x14ac:dyDescent="0.2">
      <c r="B505" s="118"/>
    </row>
    <row r="506" spans="2:2" x14ac:dyDescent="0.2">
      <c r="B506" s="118"/>
    </row>
    <row r="507" spans="2:2" x14ac:dyDescent="0.2">
      <c r="B507" s="118"/>
    </row>
    <row r="508" spans="2:2" x14ac:dyDescent="0.2">
      <c r="B508" s="118"/>
    </row>
    <row r="509" spans="2:2" x14ac:dyDescent="0.2">
      <c r="B509" s="118"/>
    </row>
    <row r="510" spans="2:2" x14ac:dyDescent="0.2">
      <c r="B510" s="118"/>
    </row>
  </sheetData>
  <mergeCells count="8">
    <mergeCell ref="C11:F12"/>
    <mergeCell ref="F19:H19"/>
    <mergeCell ref="C13:G13"/>
    <mergeCell ref="B3:H3"/>
    <mergeCell ref="B4:H4"/>
    <mergeCell ref="F6:H6"/>
    <mergeCell ref="F7:H7"/>
    <mergeCell ref="B11:B12"/>
  </mergeCells>
  <printOptions horizontalCentered="1"/>
  <pageMargins left="0.53740157499999996" right="0.39370078740157499" top="1" bottom="0.143700787" header="1" footer="0.511811023622047"/>
  <pageSetup paperSize="256" scale="70" orientation="portrait" horizontalDpi="4294967293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B2:K516"/>
  <sheetViews>
    <sheetView showGridLines="0" tabSelected="1" view="pageBreakPreview" topLeftCell="A19" zoomScale="70" zoomScaleNormal="85" zoomScaleSheetLayoutView="70" workbookViewId="0">
      <selection activeCell="J33" sqref="J33"/>
    </sheetView>
  </sheetViews>
  <sheetFormatPr defaultRowHeight="16.5" x14ac:dyDescent="0.2"/>
  <cols>
    <col min="1" max="1" width="4.5703125" style="118" customWidth="1"/>
    <col min="2" max="2" width="9.28515625" style="121" customWidth="1"/>
    <col min="3" max="3" width="1.140625" style="118" customWidth="1"/>
    <col min="4" max="4" width="20.85546875" style="118" customWidth="1"/>
    <col min="5" max="5" width="1.7109375" style="118" customWidth="1"/>
    <col min="6" max="6" width="37.85546875" style="118" customWidth="1"/>
    <col min="7" max="7" width="17.140625" style="117" customWidth="1"/>
    <col min="8" max="8" width="31.42578125" style="119" customWidth="1"/>
    <col min="9" max="9" width="25.5703125" style="118" customWidth="1"/>
    <col min="10" max="10" width="14.7109375" style="118" bestFit="1" customWidth="1"/>
    <col min="11" max="11" width="10.85546875" style="248" bestFit="1" customWidth="1"/>
    <col min="12" max="16384" width="9.140625" style="118"/>
  </cols>
  <sheetData>
    <row r="2" spans="2:9" x14ac:dyDescent="0.2">
      <c r="B2" s="467"/>
    </row>
    <row r="3" spans="2:9" x14ac:dyDescent="0.2">
      <c r="B3" s="578"/>
      <c r="C3" s="141"/>
      <c r="D3" s="141"/>
      <c r="E3" s="141"/>
      <c r="F3" s="141"/>
      <c r="G3" s="141"/>
      <c r="H3" s="579"/>
    </row>
    <row r="4" spans="2:9" ht="21" x14ac:dyDescent="0.2">
      <c r="B4" s="572" t="s">
        <v>446</v>
      </c>
      <c r="C4" s="490"/>
      <c r="D4" s="490"/>
      <c r="E4" s="490"/>
      <c r="F4" s="490"/>
      <c r="G4" s="490"/>
      <c r="H4" s="573"/>
    </row>
    <row r="5" spans="2:9" ht="21" x14ac:dyDescent="0.2">
      <c r="B5" s="580"/>
      <c r="C5" s="581"/>
      <c r="D5" s="581"/>
      <c r="E5" s="581"/>
      <c r="F5" s="581"/>
      <c r="G5" s="581"/>
      <c r="H5" s="582"/>
    </row>
    <row r="6" spans="2:9" ht="18" customHeight="1" x14ac:dyDescent="0.2">
      <c r="B6" s="123"/>
      <c r="C6" s="123"/>
      <c r="D6" s="123"/>
      <c r="E6" s="123"/>
      <c r="F6" s="123"/>
      <c r="G6" s="123"/>
      <c r="H6" s="123"/>
    </row>
    <row r="7" spans="2:9" ht="18" customHeight="1" x14ac:dyDescent="0.2">
      <c r="B7" s="123"/>
      <c r="C7" s="107" t="s">
        <v>1</v>
      </c>
      <c r="D7" s="117"/>
      <c r="E7" s="113" t="s">
        <v>0</v>
      </c>
      <c r="F7" s="482" t="str">
        <f>GEDUNG!F6</f>
        <v>GEDUNG KANTOR PT. JASA RAHARJA (Persero) CABANG JAMBI</v>
      </c>
      <c r="G7" s="482"/>
      <c r="H7" s="482"/>
    </row>
    <row r="8" spans="2:9" ht="18" customHeight="1" x14ac:dyDescent="0.2">
      <c r="B8" s="124"/>
      <c r="C8" s="107" t="s">
        <v>2</v>
      </c>
      <c r="D8" s="117"/>
      <c r="E8" s="113" t="s">
        <v>0</v>
      </c>
      <c r="F8" s="483" t="str">
        <f>GEDUNG!F7</f>
        <v>Jl. Prof DR Sri Sudewi SH No. 19, Sungai Putri, Telanaipura, Kota Jambi, Jambi 36122</v>
      </c>
      <c r="G8" s="483"/>
      <c r="H8" s="483"/>
    </row>
    <row r="9" spans="2:9" ht="18" customHeight="1" x14ac:dyDescent="0.2">
      <c r="B9" s="124"/>
      <c r="C9" s="107" t="s">
        <v>3</v>
      </c>
      <c r="D9" s="117"/>
      <c r="E9" s="113" t="s">
        <v>0</v>
      </c>
      <c r="F9" s="277" t="str">
        <f>GEDUNG!F8</f>
        <v>2021</v>
      </c>
      <c r="H9" s="125"/>
    </row>
    <row r="10" spans="2:9" ht="18" customHeight="1" x14ac:dyDescent="0.2">
      <c r="B10" s="124"/>
      <c r="C10" s="107"/>
      <c r="D10" s="117"/>
      <c r="E10" s="113"/>
      <c r="F10" s="277"/>
      <c r="H10" s="125"/>
    </row>
    <row r="11" spans="2:9" ht="6.75" customHeight="1" thickBot="1" x14ac:dyDescent="0.25">
      <c r="B11" s="126"/>
      <c r="C11" s="127"/>
      <c r="D11" s="127"/>
      <c r="E11" s="127"/>
      <c r="F11" s="127"/>
      <c r="G11" s="113"/>
      <c r="H11" s="128"/>
    </row>
    <row r="12" spans="2:9" ht="18" customHeight="1" x14ac:dyDescent="0.2">
      <c r="B12" s="484" t="s">
        <v>5</v>
      </c>
      <c r="C12" s="486" t="s">
        <v>6</v>
      </c>
      <c r="D12" s="487"/>
      <c r="E12" s="487"/>
      <c r="F12" s="487"/>
      <c r="G12" s="303"/>
      <c r="H12" s="304" t="s">
        <v>7</v>
      </c>
    </row>
    <row r="13" spans="2:9" ht="18" customHeight="1" x14ac:dyDescent="0.2">
      <c r="B13" s="485"/>
      <c r="C13" s="488"/>
      <c r="D13" s="489"/>
      <c r="E13" s="489"/>
      <c r="F13" s="489"/>
      <c r="G13" s="305"/>
      <c r="H13" s="306" t="s">
        <v>8</v>
      </c>
    </row>
    <row r="14" spans="2:9" ht="20.100000000000001" customHeight="1" x14ac:dyDescent="0.2">
      <c r="B14" s="307">
        <v>1</v>
      </c>
      <c r="C14" s="469">
        <v>2</v>
      </c>
      <c r="D14" s="470"/>
      <c r="E14" s="470"/>
      <c r="F14" s="470"/>
      <c r="G14" s="471"/>
      <c r="H14" s="308">
        <v>3</v>
      </c>
    </row>
    <row r="15" spans="2:9" ht="20.100000000000001" customHeight="1" x14ac:dyDescent="0.2">
      <c r="B15" s="114" t="str">
        <f>GEDUNG!B13</f>
        <v>I</v>
      </c>
      <c r="C15" s="115"/>
      <c r="D15" s="116" t="str">
        <f>+GEDUNG!D13</f>
        <v>PEKERJAAN PENDAHULUAN</v>
      </c>
      <c r="E15" s="116"/>
      <c r="F15" s="116"/>
      <c r="G15" s="116"/>
      <c r="H15" s="129">
        <f>+GEDUNG!J31</f>
        <v>0</v>
      </c>
      <c r="I15" s="281"/>
    </row>
    <row r="16" spans="2:9" ht="20.100000000000001" customHeight="1" x14ac:dyDescent="0.2">
      <c r="B16" s="114" t="str">
        <f>GEDUNG!B32</f>
        <v>II</v>
      </c>
      <c r="C16" s="115"/>
      <c r="D16" s="116" t="str">
        <f>+GEDUNG!D32</f>
        <v>PEKERJAAN TANAH DAN URUGAN</v>
      </c>
      <c r="E16" s="116"/>
      <c r="F16" s="116"/>
      <c r="G16" s="116"/>
      <c r="H16" s="129">
        <f>+GEDUNG!J38</f>
        <v>0</v>
      </c>
    </row>
    <row r="17" spans="2:10" ht="20.100000000000001" customHeight="1" x14ac:dyDescent="0.2">
      <c r="B17" s="114" t="str">
        <f>GEDUNG!B39</f>
        <v>III</v>
      </c>
      <c r="C17" s="115"/>
      <c r="D17" s="116" t="str">
        <f>+GEDUNG!D39</f>
        <v>PEKERJAAN PONDASI</v>
      </c>
      <c r="E17" s="116"/>
      <c r="F17" s="116"/>
      <c r="G17" s="116"/>
      <c r="H17" s="129">
        <f>+GEDUNG!J48</f>
        <v>0</v>
      </c>
    </row>
    <row r="18" spans="2:10" ht="20.100000000000001" customHeight="1" x14ac:dyDescent="0.2">
      <c r="B18" s="114" t="str">
        <f>GEDUNG!B49</f>
        <v>IV</v>
      </c>
      <c r="C18" s="115"/>
      <c r="D18" s="116" t="str">
        <f>+GEDUNG!D49</f>
        <v xml:space="preserve">PEKERJAAN STRUKTUR </v>
      </c>
      <c r="E18" s="116"/>
      <c r="F18" s="116"/>
      <c r="G18" s="116"/>
      <c r="H18" s="129">
        <f>+GEDUNG!J68+GEDUNG!J91</f>
        <v>0</v>
      </c>
    </row>
    <row r="19" spans="2:10" ht="20.100000000000001" customHeight="1" x14ac:dyDescent="0.2">
      <c r="B19" s="114" t="str">
        <f>GEDUNG!B92</f>
        <v>V</v>
      </c>
      <c r="C19" s="115"/>
      <c r="D19" s="116" t="str">
        <f>+GEDUNG!D92</f>
        <v>PEKERJAAN PASANGAN DAN PLASTERAN</v>
      </c>
      <c r="E19" s="116"/>
      <c r="F19" s="116"/>
      <c r="G19" s="116"/>
      <c r="H19" s="129">
        <f>+GEDUNG!J99+GEDUNG!J106</f>
        <v>0</v>
      </c>
    </row>
    <row r="20" spans="2:10" ht="20.25" customHeight="1" x14ac:dyDescent="0.2">
      <c r="B20" s="114" t="s">
        <v>62</v>
      </c>
      <c r="C20" s="115"/>
      <c r="D20" s="116" t="str">
        <f>+GEDUNG!D107</f>
        <v>PEKERJAAN LANTAI</v>
      </c>
      <c r="E20" s="116"/>
      <c r="F20" s="116"/>
      <c r="G20" s="116"/>
      <c r="H20" s="129">
        <f>+GEDUNG!J117+GEDUNG!J125+GEDUNG!J129</f>
        <v>0</v>
      </c>
    </row>
    <row r="21" spans="2:10" ht="20.100000000000001" customHeight="1" x14ac:dyDescent="0.2">
      <c r="B21" s="114" t="s">
        <v>170</v>
      </c>
      <c r="C21" s="115"/>
      <c r="D21" s="116" t="str">
        <f>+GEDUNG!D148</f>
        <v>PEKERJAAN PLAFOND</v>
      </c>
      <c r="E21" s="116"/>
      <c r="F21" s="116"/>
      <c r="G21" s="116"/>
      <c r="H21" s="129">
        <f>+GEDUNG!J160+GEDUNG!J172</f>
        <v>0</v>
      </c>
    </row>
    <row r="22" spans="2:10" ht="20.100000000000001" customHeight="1" x14ac:dyDescent="0.2">
      <c r="B22" s="114" t="s">
        <v>171</v>
      </c>
      <c r="C22" s="115"/>
      <c r="D22" s="116" t="str">
        <f>+GEDUNG!D173</f>
        <v>PEKERJAAN KOZYN, PINTU, JENDELA DAN VENTILASI</v>
      </c>
      <c r="E22" s="116"/>
      <c r="F22" s="116"/>
      <c r="G22" s="116"/>
      <c r="H22" s="129">
        <f>+GEDUNG!J198+GEDUNG!J209</f>
        <v>0</v>
      </c>
    </row>
    <row r="23" spans="2:10" ht="20.100000000000001" customHeight="1" x14ac:dyDescent="0.2">
      <c r="B23" s="114" t="s">
        <v>172</v>
      </c>
      <c r="C23" s="115"/>
      <c r="D23" s="116" t="str">
        <f>+GEDUNG!D215</f>
        <v>PEKERJAAN SANITASI &amp; PIPA</v>
      </c>
      <c r="E23" s="116"/>
      <c r="F23" s="116"/>
      <c r="G23" s="116"/>
      <c r="H23" s="129">
        <f>+GEDUNG!J230+GEDUNG!J243</f>
        <v>0</v>
      </c>
    </row>
    <row r="24" spans="2:10" ht="20.100000000000001" customHeight="1" x14ac:dyDescent="0.2">
      <c r="B24" s="114" t="s">
        <v>173</v>
      </c>
      <c r="C24" s="115"/>
      <c r="D24" s="444" t="str">
        <f>+GEDUNG!D244</f>
        <v>PEKERJAAN INSTALASI LISTRIK DAN CAHAYA</v>
      </c>
      <c r="E24" s="444"/>
      <c r="F24" s="444"/>
      <c r="G24" s="444"/>
      <c r="H24" s="445">
        <f>+GEDUNG!J275+GEDUNG!J309</f>
        <v>0</v>
      </c>
    </row>
    <row r="25" spans="2:10" ht="20.100000000000001" customHeight="1" x14ac:dyDescent="0.2">
      <c r="B25" s="114" t="s">
        <v>174</v>
      </c>
      <c r="C25" s="115"/>
      <c r="D25" s="444" t="str">
        <f>+GEDUNG!D310</f>
        <v>PEKERJAAN PENGECATAN DAN FINISHING</v>
      </c>
      <c r="E25" s="444"/>
      <c r="F25" s="444"/>
      <c r="G25" s="444"/>
      <c r="H25" s="445">
        <f>+GEDUNG!J322</f>
        <v>0</v>
      </c>
    </row>
    <row r="26" spans="2:10" ht="20.100000000000001" customHeight="1" x14ac:dyDescent="0.2">
      <c r="B26" s="114" t="s">
        <v>194</v>
      </c>
      <c r="C26" s="115"/>
      <c r="D26" s="116" t="str">
        <f>+GEDUNG!D323</f>
        <v>PEKERJAAN PELENGKAP</v>
      </c>
      <c r="E26" s="116"/>
      <c r="F26" s="116"/>
      <c r="G26" s="116"/>
      <c r="H26" s="129">
        <f>+GEDUNG!J333</f>
        <v>0</v>
      </c>
      <c r="I26" s="248"/>
    </row>
    <row r="27" spans="2:10" ht="20.100000000000001" customHeight="1" thickBot="1" x14ac:dyDescent="0.25">
      <c r="B27" s="114"/>
      <c r="C27" s="115"/>
      <c r="D27" s="116"/>
      <c r="E27" s="116"/>
      <c r="F27" s="116"/>
      <c r="G27" s="116"/>
      <c r="H27" s="129"/>
    </row>
    <row r="28" spans="2:10" ht="21.2" customHeight="1" x14ac:dyDescent="0.2">
      <c r="B28" s="130"/>
      <c r="C28" s="131"/>
      <c r="D28" s="131" t="s">
        <v>56</v>
      </c>
      <c r="E28" s="131"/>
      <c r="F28" s="131"/>
      <c r="G28" s="132"/>
      <c r="H28" s="133">
        <f>SUM(H15:H27)</f>
        <v>0</v>
      </c>
    </row>
    <row r="29" spans="2:10" ht="21.2" customHeight="1" x14ac:dyDescent="0.2">
      <c r="B29" s="134"/>
      <c r="C29" s="135"/>
      <c r="D29" s="136" t="s">
        <v>45</v>
      </c>
      <c r="E29" s="137"/>
      <c r="F29" s="137"/>
      <c r="G29" s="138"/>
      <c r="H29" s="139">
        <f>(10/100)*H28</f>
        <v>0</v>
      </c>
      <c r="I29" s="248"/>
    </row>
    <row r="30" spans="2:10" ht="21.2" customHeight="1" thickBot="1" x14ac:dyDescent="0.25">
      <c r="B30" s="140"/>
      <c r="C30" s="141"/>
      <c r="D30" s="251" t="s">
        <v>46</v>
      </c>
      <c r="E30" s="251"/>
      <c r="F30" s="251"/>
      <c r="G30" s="142"/>
      <c r="H30" s="252">
        <f>SUM(H28:H29)</f>
        <v>0</v>
      </c>
      <c r="I30" s="247"/>
      <c r="J30" s="279"/>
    </row>
    <row r="31" spans="2:10" ht="6" customHeight="1" x14ac:dyDescent="0.2">
      <c r="B31" s="309"/>
      <c r="C31" s="310"/>
      <c r="D31" s="491" t="s">
        <v>47</v>
      </c>
      <c r="E31" s="491"/>
      <c r="F31" s="491"/>
      <c r="G31" s="311"/>
      <c r="H31" s="493">
        <f>+ROUNDDOWN(H30,-4)</f>
        <v>0</v>
      </c>
    </row>
    <row r="32" spans="2:10" ht="21.75" customHeight="1" thickBot="1" x14ac:dyDescent="0.25">
      <c r="B32" s="312"/>
      <c r="C32" s="313"/>
      <c r="D32" s="492"/>
      <c r="E32" s="492"/>
      <c r="F32" s="492"/>
      <c r="G32" s="314"/>
      <c r="H32" s="494"/>
      <c r="I32" s="468"/>
    </row>
    <row r="33" spans="2:11" ht="21.75" customHeight="1" x14ac:dyDescent="0.2">
      <c r="B33" s="117"/>
      <c r="C33" s="117"/>
      <c r="D33" s="120"/>
      <c r="E33" s="120"/>
      <c r="F33" s="291"/>
      <c r="G33" s="291"/>
      <c r="H33" s="291"/>
      <c r="I33" s="145"/>
      <c r="J33" s="145"/>
    </row>
    <row r="34" spans="2:11" s="144" customFormat="1" x14ac:dyDescent="0.2">
      <c r="C34" s="118"/>
      <c r="D34" s="121"/>
      <c r="E34" s="121"/>
      <c r="F34" s="241"/>
      <c r="G34" s="330" t="s">
        <v>442</v>
      </c>
      <c r="K34" s="280"/>
    </row>
    <row r="35" spans="2:11" s="144" customFormat="1" x14ac:dyDescent="0.2">
      <c r="B35" s="333"/>
      <c r="C35" s="228"/>
      <c r="D35" s="228"/>
      <c r="E35" s="228"/>
      <c r="F35" s="331"/>
      <c r="G35" s="332" t="s">
        <v>443</v>
      </c>
      <c r="K35" s="280"/>
    </row>
    <row r="36" spans="2:11" s="144" customFormat="1" x14ac:dyDescent="0.2">
      <c r="B36" s="228"/>
      <c r="C36" s="228"/>
      <c r="D36" s="228"/>
      <c r="E36" s="228"/>
      <c r="F36" s="331"/>
      <c r="G36" s="332"/>
      <c r="K36" s="280"/>
    </row>
    <row r="37" spans="2:11" s="144" customFormat="1" x14ac:dyDescent="0.2">
      <c r="B37" s="228"/>
      <c r="C37" s="228"/>
      <c r="D37" s="228"/>
      <c r="E37" s="228"/>
      <c r="F37" s="331"/>
      <c r="G37" s="332"/>
      <c r="K37" s="280"/>
    </row>
    <row r="38" spans="2:11" s="144" customFormat="1" x14ac:dyDescent="0.2">
      <c r="B38" s="118"/>
      <c r="C38" s="118"/>
      <c r="D38" s="118"/>
      <c r="E38" s="118"/>
      <c r="F38" s="241"/>
      <c r="G38" s="241"/>
      <c r="H38" s="118"/>
      <c r="K38" s="280"/>
    </row>
    <row r="39" spans="2:11" x14ac:dyDescent="0.2">
      <c r="B39" s="118"/>
    </row>
    <row r="40" spans="2:11" x14ac:dyDescent="0.2">
      <c r="B40" s="228"/>
      <c r="G40" s="290" t="s">
        <v>444</v>
      </c>
    </row>
    <row r="41" spans="2:11" x14ac:dyDescent="0.2">
      <c r="B41" s="118"/>
      <c r="G41" s="117" t="s">
        <v>445</v>
      </c>
    </row>
    <row r="42" spans="2:11" x14ac:dyDescent="0.2">
      <c r="B42" s="118"/>
    </row>
    <row r="43" spans="2:11" x14ac:dyDescent="0.2">
      <c r="B43" s="118"/>
    </row>
    <row r="44" spans="2:11" x14ac:dyDescent="0.2">
      <c r="B44" s="118"/>
    </row>
    <row r="45" spans="2:11" x14ac:dyDescent="0.2">
      <c r="B45" s="118"/>
    </row>
    <row r="46" spans="2:11" x14ac:dyDescent="0.2">
      <c r="B46" s="118"/>
    </row>
    <row r="47" spans="2:11" x14ac:dyDescent="0.2">
      <c r="B47" s="118"/>
    </row>
    <row r="48" spans="2:11" x14ac:dyDescent="0.2">
      <c r="B48" s="118"/>
    </row>
    <row r="49" spans="2:2" x14ac:dyDescent="0.2">
      <c r="B49" s="118"/>
    </row>
    <row r="50" spans="2:2" x14ac:dyDescent="0.2">
      <c r="B50" s="118"/>
    </row>
    <row r="51" spans="2:2" x14ac:dyDescent="0.2">
      <c r="B51" s="118"/>
    </row>
    <row r="52" spans="2:2" x14ac:dyDescent="0.2">
      <c r="B52" s="118"/>
    </row>
    <row r="53" spans="2:2" x14ac:dyDescent="0.2">
      <c r="B53" s="118"/>
    </row>
    <row r="54" spans="2:2" x14ac:dyDescent="0.2">
      <c r="B54" s="118"/>
    </row>
    <row r="55" spans="2:2" x14ac:dyDescent="0.2">
      <c r="B55" s="118"/>
    </row>
    <row r="56" spans="2:2" x14ac:dyDescent="0.2">
      <c r="B56" s="118"/>
    </row>
    <row r="57" spans="2:2" x14ac:dyDescent="0.2">
      <c r="B57" s="118"/>
    </row>
    <row r="58" spans="2:2" x14ac:dyDescent="0.2">
      <c r="B58" s="118"/>
    </row>
    <row r="59" spans="2:2" x14ac:dyDescent="0.2">
      <c r="B59" s="118"/>
    </row>
    <row r="60" spans="2:2" x14ac:dyDescent="0.2">
      <c r="B60" s="118"/>
    </row>
    <row r="61" spans="2:2" x14ac:dyDescent="0.2">
      <c r="B61" s="118"/>
    </row>
    <row r="62" spans="2:2" x14ac:dyDescent="0.2">
      <c r="B62" s="118"/>
    </row>
    <row r="63" spans="2:2" x14ac:dyDescent="0.2">
      <c r="B63" s="118"/>
    </row>
    <row r="64" spans="2:2" x14ac:dyDescent="0.2">
      <c r="B64" s="118"/>
    </row>
    <row r="65" spans="2:2" x14ac:dyDescent="0.2">
      <c r="B65" s="118"/>
    </row>
    <row r="66" spans="2:2" x14ac:dyDescent="0.2">
      <c r="B66" s="118"/>
    </row>
    <row r="67" spans="2:2" x14ac:dyDescent="0.2">
      <c r="B67" s="118"/>
    </row>
    <row r="68" spans="2:2" x14ac:dyDescent="0.2">
      <c r="B68" s="118"/>
    </row>
    <row r="69" spans="2:2" x14ac:dyDescent="0.2">
      <c r="B69" s="118"/>
    </row>
    <row r="70" spans="2:2" x14ac:dyDescent="0.2">
      <c r="B70" s="118"/>
    </row>
    <row r="71" spans="2:2" x14ac:dyDescent="0.2">
      <c r="B71" s="118"/>
    </row>
    <row r="72" spans="2:2" x14ac:dyDescent="0.2">
      <c r="B72" s="118"/>
    </row>
    <row r="73" spans="2:2" x14ac:dyDescent="0.2">
      <c r="B73" s="118"/>
    </row>
    <row r="74" spans="2:2" x14ac:dyDescent="0.2">
      <c r="B74" s="118"/>
    </row>
    <row r="75" spans="2:2" x14ac:dyDescent="0.2">
      <c r="B75" s="118"/>
    </row>
    <row r="76" spans="2:2" x14ac:dyDescent="0.2">
      <c r="B76" s="118"/>
    </row>
    <row r="77" spans="2:2" x14ac:dyDescent="0.2">
      <c r="B77" s="118"/>
    </row>
    <row r="78" spans="2:2" x14ac:dyDescent="0.2">
      <c r="B78" s="118"/>
    </row>
    <row r="79" spans="2:2" x14ac:dyDescent="0.2">
      <c r="B79" s="118"/>
    </row>
    <row r="80" spans="2:2" x14ac:dyDescent="0.2">
      <c r="B80" s="118"/>
    </row>
    <row r="81" spans="2:2" x14ac:dyDescent="0.2">
      <c r="B81" s="118"/>
    </row>
    <row r="82" spans="2:2" x14ac:dyDescent="0.2">
      <c r="B82" s="118"/>
    </row>
    <row r="83" spans="2:2" x14ac:dyDescent="0.2">
      <c r="B83" s="118"/>
    </row>
    <row r="84" spans="2:2" x14ac:dyDescent="0.2">
      <c r="B84" s="118"/>
    </row>
    <row r="85" spans="2:2" x14ac:dyDescent="0.2">
      <c r="B85" s="118"/>
    </row>
    <row r="86" spans="2:2" x14ac:dyDescent="0.2">
      <c r="B86" s="118"/>
    </row>
    <row r="87" spans="2:2" x14ac:dyDescent="0.2">
      <c r="B87" s="118"/>
    </row>
    <row r="88" spans="2:2" x14ac:dyDescent="0.2">
      <c r="B88" s="118"/>
    </row>
    <row r="89" spans="2:2" x14ac:dyDescent="0.2">
      <c r="B89" s="118"/>
    </row>
    <row r="90" spans="2:2" x14ac:dyDescent="0.2">
      <c r="B90" s="118"/>
    </row>
    <row r="91" spans="2:2" x14ac:dyDescent="0.2">
      <c r="B91" s="118"/>
    </row>
    <row r="92" spans="2:2" x14ac:dyDescent="0.2">
      <c r="B92" s="118"/>
    </row>
    <row r="93" spans="2:2" x14ac:dyDescent="0.2">
      <c r="B93" s="118"/>
    </row>
    <row r="94" spans="2:2" x14ac:dyDescent="0.2">
      <c r="B94" s="118"/>
    </row>
    <row r="95" spans="2:2" x14ac:dyDescent="0.2">
      <c r="B95" s="118"/>
    </row>
    <row r="96" spans="2:2" x14ac:dyDescent="0.2">
      <c r="B96" s="118"/>
    </row>
    <row r="97" spans="2:2" x14ac:dyDescent="0.2">
      <c r="B97" s="118"/>
    </row>
    <row r="98" spans="2:2" x14ac:dyDescent="0.2">
      <c r="B98" s="118"/>
    </row>
    <row r="99" spans="2:2" x14ac:dyDescent="0.2">
      <c r="B99" s="118"/>
    </row>
    <row r="100" spans="2:2" x14ac:dyDescent="0.2">
      <c r="B100" s="118"/>
    </row>
    <row r="101" spans="2:2" x14ac:dyDescent="0.2">
      <c r="B101" s="118"/>
    </row>
    <row r="102" spans="2:2" x14ac:dyDescent="0.2">
      <c r="B102" s="118"/>
    </row>
    <row r="103" spans="2:2" x14ac:dyDescent="0.2">
      <c r="B103" s="118"/>
    </row>
    <row r="104" spans="2:2" x14ac:dyDescent="0.2">
      <c r="B104" s="118"/>
    </row>
    <row r="105" spans="2:2" x14ac:dyDescent="0.2">
      <c r="B105" s="118"/>
    </row>
    <row r="106" spans="2:2" x14ac:dyDescent="0.2">
      <c r="B106" s="118"/>
    </row>
    <row r="107" spans="2:2" x14ac:dyDescent="0.2">
      <c r="B107" s="118"/>
    </row>
    <row r="108" spans="2:2" x14ac:dyDescent="0.2">
      <c r="B108" s="118"/>
    </row>
    <row r="109" spans="2:2" x14ac:dyDescent="0.2">
      <c r="B109" s="118"/>
    </row>
    <row r="110" spans="2:2" x14ac:dyDescent="0.2">
      <c r="B110" s="118"/>
    </row>
    <row r="111" spans="2:2" x14ac:dyDescent="0.2">
      <c r="B111" s="118"/>
    </row>
    <row r="112" spans="2:2" x14ac:dyDescent="0.2">
      <c r="B112" s="118"/>
    </row>
    <row r="113" spans="2:2" x14ac:dyDescent="0.2">
      <c r="B113" s="118"/>
    </row>
    <row r="114" spans="2:2" x14ac:dyDescent="0.2">
      <c r="B114" s="118"/>
    </row>
    <row r="115" spans="2:2" x14ac:dyDescent="0.2">
      <c r="B115" s="118"/>
    </row>
    <row r="116" spans="2:2" x14ac:dyDescent="0.2">
      <c r="B116" s="118"/>
    </row>
    <row r="117" spans="2:2" x14ac:dyDescent="0.2">
      <c r="B117" s="118"/>
    </row>
    <row r="118" spans="2:2" x14ac:dyDescent="0.2">
      <c r="B118" s="118"/>
    </row>
    <row r="119" spans="2:2" x14ac:dyDescent="0.2">
      <c r="B119" s="118"/>
    </row>
    <row r="120" spans="2:2" x14ac:dyDescent="0.2">
      <c r="B120" s="118"/>
    </row>
    <row r="121" spans="2:2" x14ac:dyDescent="0.2">
      <c r="B121" s="118"/>
    </row>
    <row r="122" spans="2:2" x14ac:dyDescent="0.2">
      <c r="B122" s="118"/>
    </row>
    <row r="123" spans="2:2" x14ac:dyDescent="0.2">
      <c r="B123" s="118"/>
    </row>
    <row r="124" spans="2:2" x14ac:dyDescent="0.2">
      <c r="B124" s="118"/>
    </row>
    <row r="125" spans="2:2" x14ac:dyDescent="0.2">
      <c r="B125" s="118"/>
    </row>
    <row r="126" spans="2:2" x14ac:dyDescent="0.2">
      <c r="B126" s="118"/>
    </row>
    <row r="127" spans="2:2" x14ac:dyDescent="0.2">
      <c r="B127" s="118"/>
    </row>
    <row r="128" spans="2:2" x14ac:dyDescent="0.2">
      <c r="B128" s="118"/>
    </row>
    <row r="129" spans="2:2" x14ac:dyDescent="0.2">
      <c r="B129" s="118"/>
    </row>
    <row r="130" spans="2:2" x14ac:dyDescent="0.2">
      <c r="B130" s="118"/>
    </row>
    <row r="131" spans="2:2" x14ac:dyDescent="0.2">
      <c r="B131" s="118"/>
    </row>
    <row r="132" spans="2:2" x14ac:dyDescent="0.2">
      <c r="B132" s="118"/>
    </row>
    <row r="133" spans="2:2" x14ac:dyDescent="0.2">
      <c r="B133" s="118"/>
    </row>
    <row r="134" spans="2:2" x14ac:dyDescent="0.2">
      <c r="B134" s="118"/>
    </row>
    <row r="135" spans="2:2" x14ac:dyDescent="0.2">
      <c r="B135" s="118"/>
    </row>
    <row r="136" spans="2:2" x14ac:dyDescent="0.2">
      <c r="B136" s="118"/>
    </row>
    <row r="137" spans="2:2" x14ac:dyDescent="0.2">
      <c r="B137" s="118"/>
    </row>
    <row r="138" spans="2:2" x14ac:dyDescent="0.2">
      <c r="B138" s="118"/>
    </row>
    <row r="139" spans="2:2" x14ac:dyDescent="0.2">
      <c r="B139" s="118"/>
    </row>
    <row r="140" spans="2:2" x14ac:dyDescent="0.2">
      <c r="B140" s="118"/>
    </row>
    <row r="141" spans="2:2" x14ac:dyDescent="0.2">
      <c r="B141" s="118"/>
    </row>
    <row r="142" spans="2:2" x14ac:dyDescent="0.2">
      <c r="B142" s="118"/>
    </row>
    <row r="143" spans="2:2" x14ac:dyDescent="0.2">
      <c r="B143" s="118"/>
    </row>
    <row r="144" spans="2:2" x14ac:dyDescent="0.2">
      <c r="B144" s="118"/>
    </row>
    <row r="145" spans="2:2" x14ac:dyDescent="0.2">
      <c r="B145" s="118"/>
    </row>
    <row r="146" spans="2:2" x14ac:dyDescent="0.2">
      <c r="B146" s="118"/>
    </row>
    <row r="147" spans="2:2" x14ac:dyDescent="0.2">
      <c r="B147" s="118"/>
    </row>
    <row r="148" spans="2:2" x14ac:dyDescent="0.2">
      <c r="B148" s="118"/>
    </row>
    <row r="149" spans="2:2" x14ac:dyDescent="0.2">
      <c r="B149" s="118"/>
    </row>
    <row r="150" spans="2:2" x14ac:dyDescent="0.2">
      <c r="B150" s="118"/>
    </row>
    <row r="151" spans="2:2" x14ac:dyDescent="0.2">
      <c r="B151" s="118"/>
    </row>
    <row r="152" spans="2:2" x14ac:dyDescent="0.2">
      <c r="B152" s="118"/>
    </row>
    <row r="153" spans="2:2" x14ac:dyDescent="0.2">
      <c r="B153" s="118"/>
    </row>
    <row r="154" spans="2:2" x14ac:dyDescent="0.2">
      <c r="B154" s="118"/>
    </row>
    <row r="155" spans="2:2" x14ac:dyDescent="0.2">
      <c r="B155" s="118"/>
    </row>
    <row r="156" spans="2:2" x14ac:dyDescent="0.2">
      <c r="B156" s="118"/>
    </row>
    <row r="157" spans="2:2" x14ac:dyDescent="0.2">
      <c r="B157" s="118"/>
    </row>
    <row r="158" spans="2:2" x14ac:dyDescent="0.2">
      <c r="B158" s="118"/>
    </row>
    <row r="159" spans="2:2" x14ac:dyDescent="0.2">
      <c r="B159" s="118"/>
    </row>
    <row r="160" spans="2:2" x14ac:dyDescent="0.2">
      <c r="B160" s="118"/>
    </row>
    <row r="161" spans="2:2" x14ac:dyDescent="0.2">
      <c r="B161" s="118"/>
    </row>
    <row r="162" spans="2:2" x14ac:dyDescent="0.2">
      <c r="B162" s="118"/>
    </row>
    <row r="163" spans="2:2" x14ac:dyDescent="0.2">
      <c r="B163" s="118"/>
    </row>
    <row r="164" spans="2:2" x14ac:dyDescent="0.2">
      <c r="B164" s="118"/>
    </row>
    <row r="165" spans="2:2" x14ac:dyDescent="0.2">
      <c r="B165" s="118"/>
    </row>
    <row r="166" spans="2:2" x14ac:dyDescent="0.2">
      <c r="B166" s="118"/>
    </row>
    <row r="167" spans="2:2" x14ac:dyDescent="0.2">
      <c r="B167" s="118"/>
    </row>
    <row r="168" spans="2:2" x14ac:dyDescent="0.2">
      <c r="B168" s="118"/>
    </row>
    <row r="169" spans="2:2" x14ac:dyDescent="0.2">
      <c r="B169" s="118"/>
    </row>
    <row r="170" spans="2:2" x14ac:dyDescent="0.2">
      <c r="B170" s="118"/>
    </row>
    <row r="171" spans="2:2" x14ac:dyDescent="0.2">
      <c r="B171" s="118"/>
    </row>
    <row r="172" spans="2:2" x14ac:dyDescent="0.2">
      <c r="B172" s="118"/>
    </row>
    <row r="173" spans="2:2" x14ac:dyDescent="0.2">
      <c r="B173" s="118"/>
    </row>
    <row r="174" spans="2:2" x14ac:dyDescent="0.2">
      <c r="B174" s="118"/>
    </row>
    <row r="175" spans="2:2" x14ac:dyDescent="0.2">
      <c r="B175" s="118"/>
    </row>
    <row r="176" spans="2:2" x14ac:dyDescent="0.2">
      <c r="B176" s="118"/>
    </row>
    <row r="177" spans="2:2" x14ac:dyDescent="0.2">
      <c r="B177" s="118"/>
    </row>
    <row r="178" spans="2:2" x14ac:dyDescent="0.2">
      <c r="B178" s="118"/>
    </row>
    <row r="179" spans="2:2" x14ac:dyDescent="0.2">
      <c r="B179" s="118"/>
    </row>
    <row r="180" spans="2:2" x14ac:dyDescent="0.2">
      <c r="B180" s="118"/>
    </row>
    <row r="181" spans="2:2" x14ac:dyDescent="0.2">
      <c r="B181" s="118"/>
    </row>
    <row r="182" spans="2:2" x14ac:dyDescent="0.2">
      <c r="B182" s="118"/>
    </row>
    <row r="183" spans="2:2" x14ac:dyDescent="0.2">
      <c r="B183" s="118"/>
    </row>
    <row r="184" spans="2:2" x14ac:dyDescent="0.2">
      <c r="B184" s="118"/>
    </row>
    <row r="185" spans="2:2" x14ac:dyDescent="0.2">
      <c r="B185" s="118"/>
    </row>
    <row r="186" spans="2:2" x14ac:dyDescent="0.2">
      <c r="B186" s="118"/>
    </row>
    <row r="187" spans="2:2" x14ac:dyDescent="0.2">
      <c r="B187" s="118"/>
    </row>
    <row r="188" spans="2:2" x14ac:dyDescent="0.2">
      <c r="B188" s="118"/>
    </row>
    <row r="189" spans="2:2" x14ac:dyDescent="0.2">
      <c r="B189" s="118"/>
    </row>
    <row r="190" spans="2:2" x14ac:dyDescent="0.2">
      <c r="B190" s="118"/>
    </row>
    <row r="191" spans="2:2" x14ac:dyDescent="0.2">
      <c r="B191" s="118"/>
    </row>
    <row r="192" spans="2:2" x14ac:dyDescent="0.2">
      <c r="B192" s="118"/>
    </row>
    <row r="193" spans="2:2" x14ac:dyDescent="0.2">
      <c r="B193" s="118"/>
    </row>
    <row r="194" spans="2:2" x14ac:dyDescent="0.2">
      <c r="B194" s="118"/>
    </row>
    <row r="195" spans="2:2" x14ac:dyDescent="0.2">
      <c r="B195" s="118"/>
    </row>
    <row r="196" spans="2:2" x14ac:dyDescent="0.2">
      <c r="B196" s="118"/>
    </row>
    <row r="197" spans="2:2" x14ac:dyDescent="0.2">
      <c r="B197" s="118"/>
    </row>
    <row r="198" spans="2:2" x14ac:dyDescent="0.2">
      <c r="B198" s="118"/>
    </row>
    <row r="199" spans="2:2" x14ac:dyDescent="0.2">
      <c r="B199" s="118"/>
    </row>
    <row r="200" spans="2:2" x14ac:dyDescent="0.2">
      <c r="B200" s="118"/>
    </row>
    <row r="201" spans="2:2" x14ac:dyDescent="0.2">
      <c r="B201" s="118"/>
    </row>
    <row r="202" spans="2:2" x14ac:dyDescent="0.2">
      <c r="B202" s="118"/>
    </row>
    <row r="203" spans="2:2" x14ac:dyDescent="0.2">
      <c r="B203" s="118"/>
    </row>
    <row r="204" spans="2:2" x14ac:dyDescent="0.2">
      <c r="B204" s="118"/>
    </row>
    <row r="205" spans="2:2" x14ac:dyDescent="0.2">
      <c r="B205" s="118"/>
    </row>
    <row r="206" spans="2:2" x14ac:dyDescent="0.2">
      <c r="B206" s="118"/>
    </row>
    <row r="207" spans="2:2" x14ac:dyDescent="0.2">
      <c r="B207" s="118"/>
    </row>
    <row r="208" spans="2:2" x14ac:dyDescent="0.2">
      <c r="B208" s="118"/>
    </row>
    <row r="209" spans="2:2" x14ac:dyDescent="0.2">
      <c r="B209" s="118"/>
    </row>
    <row r="210" spans="2:2" x14ac:dyDescent="0.2">
      <c r="B210" s="118"/>
    </row>
    <row r="211" spans="2:2" x14ac:dyDescent="0.2">
      <c r="B211" s="118"/>
    </row>
    <row r="212" spans="2:2" x14ac:dyDescent="0.2">
      <c r="B212" s="118"/>
    </row>
    <row r="213" spans="2:2" x14ac:dyDescent="0.2">
      <c r="B213" s="118"/>
    </row>
    <row r="214" spans="2:2" x14ac:dyDescent="0.2">
      <c r="B214" s="118"/>
    </row>
    <row r="215" spans="2:2" x14ac:dyDescent="0.2">
      <c r="B215" s="118"/>
    </row>
    <row r="216" spans="2:2" x14ac:dyDescent="0.2">
      <c r="B216" s="118"/>
    </row>
    <row r="217" spans="2:2" x14ac:dyDescent="0.2">
      <c r="B217" s="118"/>
    </row>
    <row r="218" spans="2:2" x14ac:dyDescent="0.2">
      <c r="B218" s="118"/>
    </row>
    <row r="219" spans="2:2" x14ac:dyDescent="0.2">
      <c r="B219" s="118"/>
    </row>
    <row r="220" spans="2:2" x14ac:dyDescent="0.2">
      <c r="B220" s="118"/>
    </row>
    <row r="221" spans="2:2" x14ac:dyDescent="0.2">
      <c r="B221" s="118"/>
    </row>
    <row r="222" spans="2:2" x14ac:dyDescent="0.2">
      <c r="B222" s="118"/>
    </row>
    <row r="223" spans="2:2" x14ac:dyDescent="0.2">
      <c r="B223" s="118"/>
    </row>
    <row r="224" spans="2:2" x14ac:dyDescent="0.2">
      <c r="B224" s="118"/>
    </row>
    <row r="225" spans="2:2" x14ac:dyDescent="0.2">
      <c r="B225" s="118"/>
    </row>
    <row r="226" spans="2:2" x14ac:dyDescent="0.2">
      <c r="B226" s="118"/>
    </row>
    <row r="227" spans="2:2" x14ac:dyDescent="0.2">
      <c r="B227" s="118"/>
    </row>
    <row r="228" spans="2:2" x14ac:dyDescent="0.2">
      <c r="B228" s="118"/>
    </row>
    <row r="229" spans="2:2" x14ac:dyDescent="0.2">
      <c r="B229" s="118"/>
    </row>
    <row r="230" spans="2:2" x14ac:dyDescent="0.2">
      <c r="B230" s="118"/>
    </row>
    <row r="231" spans="2:2" x14ac:dyDescent="0.2">
      <c r="B231" s="118"/>
    </row>
    <row r="232" spans="2:2" x14ac:dyDescent="0.2">
      <c r="B232" s="118"/>
    </row>
    <row r="233" spans="2:2" x14ac:dyDescent="0.2">
      <c r="B233" s="118"/>
    </row>
    <row r="234" spans="2:2" x14ac:dyDescent="0.2">
      <c r="B234" s="118"/>
    </row>
    <row r="235" spans="2:2" x14ac:dyDescent="0.2">
      <c r="B235" s="118"/>
    </row>
    <row r="236" spans="2:2" x14ac:dyDescent="0.2">
      <c r="B236" s="118"/>
    </row>
    <row r="237" spans="2:2" x14ac:dyDescent="0.2">
      <c r="B237" s="118"/>
    </row>
    <row r="238" spans="2:2" x14ac:dyDescent="0.2">
      <c r="B238" s="118"/>
    </row>
    <row r="239" spans="2:2" x14ac:dyDescent="0.2">
      <c r="B239" s="118"/>
    </row>
    <row r="240" spans="2:2" x14ac:dyDescent="0.2">
      <c r="B240" s="118"/>
    </row>
    <row r="241" spans="2:2" x14ac:dyDescent="0.2">
      <c r="B241" s="118"/>
    </row>
    <row r="242" spans="2:2" x14ac:dyDescent="0.2">
      <c r="B242" s="118"/>
    </row>
    <row r="243" spans="2:2" x14ac:dyDescent="0.2">
      <c r="B243" s="118"/>
    </row>
    <row r="244" spans="2:2" x14ac:dyDescent="0.2">
      <c r="B244" s="118"/>
    </row>
    <row r="245" spans="2:2" x14ac:dyDescent="0.2">
      <c r="B245" s="118"/>
    </row>
    <row r="246" spans="2:2" x14ac:dyDescent="0.2">
      <c r="B246" s="118"/>
    </row>
    <row r="247" spans="2:2" x14ac:dyDescent="0.2">
      <c r="B247" s="118"/>
    </row>
    <row r="248" spans="2:2" x14ac:dyDescent="0.2">
      <c r="B248" s="118"/>
    </row>
    <row r="249" spans="2:2" x14ac:dyDescent="0.2">
      <c r="B249" s="118"/>
    </row>
    <row r="250" spans="2:2" x14ac:dyDescent="0.2">
      <c r="B250" s="118"/>
    </row>
    <row r="251" spans="2:2" x14ac:dyDescent="0.2">
      <c r="B251" s="118"/>
    </row>
    <row r="252" spans="2:2" x14ac:dyDescent="0.2">
      <c r="B252" s="118"/>
    </row>
    <row r="253" spans="2:2" x14ac:dyDescent="0.2">
      <c r="B253" s="118"/>
    </row>
    <row r="254" spans="2:2" x14ac:dyDescent="0.2">
      <c r="B254" s="118"/>
    </row>
    <row r="255" spans="2:2" x14ac:dyDescent="0.2">
      <c r="B255" s="118"/>
    </row>
    <row r="256" spans="2:2" x14ac:dyDescent="0.2">
      <c r="B256" s="118"/>
    </row>
    <row r="257" spans="2:2" x14ac:dyDescent="0.2">
      <c r="B257" s="118"/>
    </row>
    <row r="258" spans="2:2" x14ac:dyDescent="0.2">
      <c r="B258" s="118"/>
    </row>
    <row r="259" spans="2:2" x14ac:dyDescent="0.2">
      <c r="B259" s="118"/>
    </row>
    <row r="260" spans="2:2" x14ac:dyDescent="0.2">
      <c r="B260" s="118"/>
    </row>
    <row r="261" spans="2:2" x14ac:dyDescent="0.2">
      <c r="B261" s="118"/>
    </row>
    <row r="262" spans="2:2" x14ac:dyDescent="0.2">
      <c r="B262" s="118"/>
    </row>
    <row r="263" spans="2:2" x14ac:dyDescent="0.2">
      <c r="B263" s="118"/>
    </row>
    <row r="264" spans="2:2" x14ac:dyDescent="0.2">
      <c r="B264" s="118"/>
    </row>
    <row r="265" spans="2:2" x14ac:dyDescent="0.2">
      <c r="B265" s="118"/>
    </row>
    <row r="266" spans="2:2" x14ac:dyDescent="0.2">
      <c r="B266" s="118"/>
    </row>
    <row r="267" spans="2:2" x14ac:dyDescent="0.2">
      <c r="B267" s="118"/>
    </row>
    <row r="268" spans="2:2" x14ac:dyDescent="0.2">
      <c r="B268" s="118"/>
    </row>
    <row r="269" spans="2:2" x14ac:dyDescent="0.2">
      <c r="B269" s="118"/>
    </row>
    <row r="270" spans="2:2" x14ac:dyDescent="0.2">
      <c r="B270" s="118"/>
    </row>
    <row r="271" spans="2:2" x14ac:dyDescent="0.2">
      <c r="B271" s="118"/>
    </row>
    <row r="272" spans="2:2" x14ac:dyDescent="0.2">
      <c r="B272" s="118"/>
    </row>
    <row r="273" spans="2:2" x14ac:dyDescent="0.2">
      <c r="B273" s="118"/>
    </row>
    <row r="274" spans="2:2" x14ac:dyDescent="0.2">
      <c r="B274" s="118"/>
    </row>
    <row r="275" spans="2:2" x14ac:dyDescent="0.2">
      <c r="B275" s="118"/>
    </row>
    <row r="276" spans="2:2" x14ac:dyDescent="0.2">
      <c r="B276" s="118"/>
    </row>
    <row r="277" spans="2:2" x14ac:dyDescent="0.2">
      <c r="B277" s="118"/>
    </row>
    <row r="278" spans="2:2" x14ac:dyDescent="0.2">
      <c r="B278" s="118"/>
    </row>
    <row r="279" spans="2:2" x14ac:dyDescent="0.2">
      <c r="B279" s="118"/>
    </row>
    <row r="280" spans="2:2" x14ac:dyDescent="0.2">
      <c r="B280" s="118"/>
    </row>
    <row r="281" spans="2:2" x14ac:dyDescent="0.2">
      <c r="B281" s="118"/>
    </row>
    <row r="282" spans="2:2" x14ac:dyDescent="0.2">
      <c r="B282" s="118"/>
    </row>
    <row r="283" spans="2:2" x14ac:dyDescent="0.2">
      <c r="B283" s="118"/>
    </row>
    <row r="284" spans="2:2" x14ac:dyDescent="0.2">
      <c r="B284" s="118"/>
    </row>
    <row r="285" spans="2:2" x14ac:dyDescent="0.2">
      <c r="B285" s="118"/>
    </row>
    <row r="286" spans="2:2" x14ac:dyDescent="0.2">
      <c r="B286" s="118"/>
    </row>
    <row r="287" spans="2:2" x14ac:dyDescent="0.2">
      <c r="B287" s="118"/>
    </row>
    <row r="288" spans="2:2" x14ac:dyDescent="0.2">
      <c r="B288" s="118"/>
    </row>
    <row r="289" spans="2:2" x14ac:dyDescent="0.2">
      <c r="B289" s="118"/>
    </row>
    <row r="290" spans="2:2" x14ac:dyDescent="0.2">
      <c r="B290" s="118"/>
    </row>
    <row r="291" spans="2:2" x14ac:dyDescent="0.2">
      <c r="B291" s="118"/>
    </row>
    <row r="292" spans="2:2" x14ac:dyDescent="0.2">
      <c r="B292" s="118"/>
    </row>
    <row r="293" spans="2:2" x14ac:dyDescent="0.2">
      <c r="B293" s="118"/>
    </row>
    <row r="294" spans="2:2" x14ac:dyDescent="0.2">
      <c r="B294" s="118"/>
    </row>
    <row r="295" spans="2:2" x14ac:dyDescent="0.2">
      <c r="B295" s="118"/>
    </row>
    <row r="296" spans="2:2" x14ac:dyDescent="0.2">
      <c r="B296" s="118"/>
    </row>
    <row r="297" spans="2:2" x14ac:dyDescent="0.2">
      <c r="B297" s="118"/>
    </row>
    <row r="298" spans="2:2" x14ac:dyDescent="0.2">
      <c r="B298" s="118"/>
    </row>
    <row r="299" spans="2:2" x14ac:dyDescent="0.2">
      <c r="B299" s="118"/>
    </row>
    <row r="300" spans="2:2" x14ac:dyDescent="0.2">
      <c r="B300" s="118"/>
    </row>
    <row r="301" spans="2:2" x14ac:dyDescent="0.2">
      <c r="B301" s="118"/>
    </row>
    <row r="302" spans="2:2" x14ac:dyDescent="0.2">
      <c r="B302" s="118"/>
    </row>
    <row r="303" spans="2:2" x14ac:dyDescent="0.2">
      <c r="B303" s="118"/>
    </row>
    <row r="304" spans="2:2" x14ac:dyDescent="0.2">
      <c r="B304" s="118"/>
    </row>
    <row r="305" spans="2:2" x14ac:dyDescent="0.2">
      <c r="B305" s="118"/>
    </row>
    <row r="306" spans="2:2" x14ac:dyDescent="0.2">
      <c r="B306" s="118"/>
    </row>
    <row r="307" spans="2:2" x14ac:dyDescent="0.2">
      <c r="B307" s="118"/>
    </row>
    <row r="308" spans="2:2" x14ac:dyDescent="0.2">
      <c r="B308" s="118"/>
    </row>
    <row r="309" spans="2:2" x14ac:dyDescent="0.2">
      <c r="B309" s="118"/>
    </row>
    <row r="310" spans="2:2" x14ac:dyDescent="0.2">
      <c r="B310" s="118"/>
    </row>
    <row r="311" spans="2:2" x14ac:dyDescent="0.2">
      <c r="B311" s="118"/>
    </row>
    <row r="312" spans="2:2" x14ac:dyDescent="0.2">
      <c r="B312" s="118"/>
    </row>
    <row r="313" spans="2:2" x14ac:dyDescent="0.2">
      <c r="B313" s="118"/>
    </row>
    <row r="314" spans="2:2" x14ac:dyDescent="0.2">
      <c r="B314" s="118"/>
    </row>
    <row r="315" spans="2:2" x14ac:dyDescent="0.2">
      <c r="B315" s="118"/>
    </row>
    <row r="316" spans="2:2" x14ac:dyDescent="0.2">
      <c r="B316" s="118"/>
    </row>
    <row r="317" spans="2:2" x14ac:dyDescent="0.2">
      <c r="B317" s="118"/>
    </row>
    <row r="318" spans="2:2" x14ac:dyDescent="0.2">
      <c r="B318" s="118"/>
    </row>
    <row r="319" spans="2:2" x14ac:dyDescent="0.2">
      <c r="B319" s="118"/>
    </row>
    <row r="320" spans="2:2" x14ac:dyDescent="0.2">
      <c r="B320" s="118"/>
    </row>
    <row r="321" spans="2:2" x14ac:dyDescent="0.2">
      <c r="B321" s="118"/>
    </row>
    <row r="322" spans="2:2" x14ac:dyDescent="0.2">
      <c r="B322" s="118"/>
    </row>
    <row r="323" spans="2:2" x14ac:dyDescent="0.2">
      <c r="B323" s="118"/>
    </row>
    <row r="324" spans="2:2" x14ac:dyDescent="0.2">
      <c r="B324" s="118"/>
    </row>
    <row r="325" spans="2:2" x14ac:dyDescent="0.2">
      <c r="B325" s="118"/>
    </row>
    <row r="326" spans="2:2" x14ac:dyDescent="0.2">
      <c r="B326" s="118"/>
    </row>
    <row r="327" spans="2:2" x14ac:dyDescent="0.2">
      <c r="B327" s="118"/>
    </row>
    <row r="328" spans="2:2" x14ac:dyDescent="0.2">
      <c r="B328" s="118"/>
    </row>
    <row r="329" spans="2:2" x14ac:dyDescent="0.2">
      <c r="B329" s="118"/>
    </row>
    <row r="330" spans="2:2" x14ac:dyDescent="0.2">
      <c r="B330" s="118"/>
    </row>
    <row r="331" spans="2:2" x14ac:dyDescent="0.2">
      <c r="B331" s="118"/>
    </row>
    <row r="332" spans="2:2" x14ac:dyDescent="0.2">
      <c r="B332" s="118"/>
    </row>
    <row r="333" spans="2:2" x14ac:dyDescent="0.2">
      <c r="B333" s="118"/>
    </row>
    <row r="334" spans="2:2" x14ac:dyDescent="0.2">
      <c r="B334" s="118"/>
    </row>
    <row r="335" spans="2:2" x14ac:dyDescent="0.2">
      <c r="B335" s="118"/>
    </row>
    <row r="336" spans="2:2" x14ac:dyDescent="0.2">
      <c r="B336" s="118"/>
    </row>
    <row r="337" spans="2:2" x14ac:dyDescent="0.2">
      <c r="B337" s="118"/>
    </row>
    <row r="338" spans="2:2" x14ac:dyDescent="0.2">
      <c r="B338" s="118"/>
    </row>
    <row r="339" spans="2:2" x14ac:dyDescent="0.2">
      <c r="B339" s="118"/>
    </row>
    <row r="340" spans="2:2" x14ac:dyDescent="0.2">
      <c r="B340" s="118"/>
    </row>
    <row r="341" spans="2:2" x14ac:dyDescent="0.2">
      <c r="B341" s="118"/>
    </row>
    <row r="342" spans="2:2" x14ac:dyDescent="0.2">
      <c r="B342" s="118"/>
    </row>
    <row r="343" spans="2:2" x14ac:dyDescent="0.2">
      <c r="B343" s="118"/>
    </row>
    <row r="344" spans="2:2" x14ac:dyDescent="0.2">
      <c r="B344" s="118"/>
    </row>
    <row r="345" spans="2:2" x14ac:dyDescent="0.2">
      <c r="B345" s="118"/>
    </row>
    <row r="346" spans="2:2" x14ac:dyDescent="0.2">
      <c r="B346" s="118"/>
    </row>
    <row r="347" spans="2:2" x14ac:dyDescent="0.2">
      <c r="B347" s="118"/>
    </row>
    <row r="348" spans="2:2" x14ac:dyDescent="0.2">
      <c r="B348" s="118"/>
    </row>
    <row r="349" spans="2:2" x14ac:dyDescent="0.2">
      <c r="B349" s="118"/>
    </row>
    <row r="350" spans="2:2" x14ac:dyDescent="0.2">
      <c r="B350" s="118"/>
    </row>
    <row r="351" spans="2:2" x14ac:dyDescent="0.2">
      <c r="B351" s="118"/>
    </row>
    <row r="352" spans="2:2" x14ac:dyDescent="0.2">
      <c r="B352" s="118"/>
    </row>
    <row r="353" spans="2:2" x14ac:dyDescent="0.2">
      <c r="B353" s="118"/>
    </row>
    <row r="354" spans="2:2" x14ac:dyDescent="0.2">
      <c r="B354" s="118"/>
    </row>
    <row r="355" spans="2:2" x14ac:dyDescent="0.2">
      <c r="B355" s="118"/>
    </row>
    <row r="356" spans="2:2" x14ac:dyDescent="0.2">
      <c r="B356" s="118"/>
    </row>
    <row r="357" spans="2:2" x14ac:dyDescent="0.2">
      <c r="B357" s="118"/>
    </row>
    <row r="358" spans="2:2" x14ac:dyDescent="0.2">
      <c r="B358" s="118"/>
    </row>
    <row r="359" spans="2:2" x14ac:dyDescent="0.2">
      <c r="B359" s="118"/>
    </row>
    <row r="360" spans="2:2" x14ac:dyDescent="0.2">
      <c r="B360" s="118"/>
    </row>
    <row r="361" spans="2:2" x14ac:dyDescent="0.2">
      <c r="B361" s="118"/>
    </row>
    <row r="362" spans="2:2" x14ac:dyDescent="0.2">
      <c r="B362" s="118"/>
    </row>
    <row r="363" spans="2:2" x14ac:dyDescent="0.2">
      <c r="B363" s="118"/>
    </row>
    <row r="364" spans="2:2" x14ac:dyDescent="0.2">
      <c r="B364" s="118"/>
    </row>
    <row r="365" spans="2:2" x14ac:dyDescent="0.2">
      <c r="B365" s="118"/>
    </row>
    <row r="366" spans="2:2" x14ac:dyDescent="0.2">
      <c r="B366" s="118"/>
    </row>
    <row r="367" spans="2:2" x14ac:dyDescent="0.2">
      <c r="B367" s="118"/>
    </row>
    <row r="368" spans="2:2" x14ac:dyDescent="0.2">
      <c r="B368" s="118"/>
    </row>
    <row r="369" spans="2:2" x14ac:dyDescent="0.2">
      <c r="B369" s="118"/>
    </row>
    <row r="370" spans="2:2" x14ac:dyDescent="0.2">
      <c r="B370" s="118"/>
    </row>
    <row r="371" spans="2:2" x14ac:dyDescent="0.2">
      <c r="B371" s="118"/>
    </row>
    <row r="372" spans="2:2" x14ac:dyDescent="0.2">
      <c r="B372" s="118"/>
    </row>
    <row r="373" spans="2:2" x14ac:dyDescent="0.2">
      <c r="B373" s="118"/>
    </row>
    <row r="374" spans="2:2" x14ac:dyDescent="0.2">
      <c r="B374" s="118"/>
    </row>
    <row r="375" spans="2:2" x14ac:dyDescent="0.2">
      <c r="B375" s="118"/>
    </row>
    <row r="376" spans="2:2" x14ac:dyDescent="0.2">
      <c r="B376" s="118"/>
    </row>
    <row r="377" spans="2:2" x14ac:dyDescent="0.2">
      <c r="B377" s="118"/>
    </row>
    <row r="378" spans="2:2" x14ac:dyDescent="0.2">
      <c r="B378" s="118"/>
    </row>
    <row r="379" spans="2:2" x14ac:dyDescent="0.2">
      <c r="B379" s="118"/>
    </row>
    <row r="380" spans="2:2" x14ac:dyDescent="0.2">
      <c r="B380" s="118"/>
    </row>
    <row r="381" spans="2:2" x14ac:dyDescent="0.2">
      <c r="B381" s="118"/>
    </row>
    <row r="382" spans="2:2" x14ac:dyDescent="0.2">
      <c r="B382" s="118"/>
    </row>
    <row r="383" spans="2:2" x14ac:dyDescent="0.2">
      <c r="B383" s="118"/>
    </row>
    <row r="384" spans="2:2" x14ac:dyDescent="0.2">
      <c r="B384" s="118"/>
    </row>
    <row r="385" spans="2:2" x14ac:dyDescent="0.2">
      <c r="B385" s="118"/>
    </row>
    <row r="386" spans="2:2" x14ac:dyDescent="0.2">
      <c r="B386" s="118"/>
    </row>
    <row r="387" spans="2:2" x14ac:dyDescent="0.2">
      <c r="B387" s="118"/>
    </row>
    <row r="388" spans="2:2" x14ac:dyDescent="0.2">
      <c r="B388" s="118"/>
    </row>
    <row r="389" spans="2:2" x14ac:dyDescent="0.2">
      <c r="B389" s="118"/>
    </row>
    <row r="390" spans="2:2" x14ac:dyDescent="0.2">
      <c r="B390" s="118"/>
    </row>
    <row r="391" spans="2:2" x14ac:dyDescent="0.2">
      <c r="B391" s="118"/>
    </row>
    <row r="392" spans="2:2" x14ac:dyDescent="0.2">
      <c r="B392" s="118"/>
    </row>
    <row r="393" spans="2:2" x14ac:dyDescent="0.2">
      <c r="B393" s="118"/>
    </row>
    <row r="394" spans="2:2" x14ac:dyDescent="0.2">
      <c r="B394" s="118"/>
    </row>
    <row r="395" spans="2:2" x14ac:dyDescent="0.2">
      <c r="B395" s="118"/>
    </row>
    <row r="396" spans="2:2" x14ac:dyDescent="0.2">
      <c r="B396" s="118"/>
    </row>
    <row r="397" spans="2:2" x14ac:dyDescent="0.2">
      <c r="B397" s="118"/>
    </row>
    <row r="398" spans="2:2" x14ac:dyDescent="0.2">
      <c r="B398" s="118"/>
    </row>
    <row r="399" spans="2:2" x14ac:dyDescent="0.2">
      <c r="B399" s="118"/>
    </row>
    <row r="400" spans="2:2" x14ac:dyDescent="0.2">
      <c r="B400" s="118"/>
    </row>
    <row r="401" spans="2:2" x14ac:dyDescent="0.2">
      <c r="B401" s="118"/>
    </row>
    <row r="402" spans="2:2" x14ac:dyDescent="0.2">
      <c r="B402" s="118"/>
    </row>
    <row r="403" spans="2:2" x14ac:dyDescent="0.2">
      <c r="B403" s="118"/>
    </row>
    <row r="404" spans="2:2" x14ac:dyDescent="0.2">
      <c r="B404" s="118"/>
    </row>
    <row r="405" spans="2:2" x14ac:dyDescent="0.2">
      <c r="B405" s="118"/>
    </row>
    <row r="406" spans="2:2" x14ac:dyDescent="0.2">
      <c r="B406" s="118"/>
    </row>
    <row r="407" spans="2:2" x14ac:dyDescent="0.2">
      <c r="B407" s="118"/>
    </row>
    <row r="408" spans="2:2" x14ac:dyDescent="0.2">
      <c r="B408" s="118"/>
    </row>
    <row r="409" spans="2:2" x14ac:dyDescent="0.2">
      <c r="B409" s="118"/>
    </row>
    <row r="410" spans="2:2" x14ac:dyDescent="0.2">
      <c r="B410" s="118"/>
    </row>
    <row r="411" spans="2:2" x14ac:dyDescent="0.2">
      <c r="B411" s="118"/>
    </row>
    <row r="412" spans="2:2" x14ac:dyDescent="0.2">
      <c r="B412" s="118"/>
    </row>
    <row r="413" spans="2:2" x14ac:dyDescent="0.2">
      <c r="B413" s="118"/>
    </row>
    <row r="414" spans="2:2" x14ac:dyDescent="0.2">
      <c r="B414" s="118"/>
    </row>
    <row r="415" spans="2:2" x14ac:dyDescent="0.2">
      <c r="B415" s="118"/>
    </row>
    <row r="416" spans="2:2" x14ac:dyDescent="0.2">
      <c r="B416" s="118"/>
    </row>
    <row r="417" spans="2:2" x14ac:dyDescent="0.2">
      <c r="B417" s="118"/>
    </row>
    <row r="418" spans="2:2" x14ac:dyDescent="0.2">
      <c r="B418" s="118"/>
    </row>
    <row r="419" spans="2:2" x14ac:dyDescent="0.2">
      <c r="B419" s="118"/>
    </row>
    <row r="420" spans="2:2" x14ac:dyDescent="0.2">
      <c r="B420" s="118"/>
    </row>
    <row r="421" spans="2:2" x14ac:dyDescent="0.2">
      <c r="B421" s="118"/>
    </row>
    <row r="422" spans="2:2" x14ac:dyDescent="0.2">
      <c r="B422" s="118"/>
    </row>
    <row r="423" spans="2:2" x14ac:dyDescent="0.2">
      <c r="B423" s="118"/>
    </row>
    <row r="424" spans="2:2" x14ac:dyDescent="0.2">
      <c r="B424" s="118"/>
    </row>
    <row r="425" spans="2:2" x14ac:dyDescent="0.2">
      <c r="B425" s="118"/>
    </row>
    <row r="426" spans="2:2" x14ac:dyDescent="0.2">
      <c r="B426" s="118"/>
    </row>
    <row r="427" spans="2:2" x14ac:dyDescent="0.2">
      <c r="B427" s="118"/>
    </row>
    <row r="428" spans="2:2" x14ac:dyDescent="0.2">
      <c r="B428" s="118"/>
    </row>
    <row r="429" spans="2:2" x14ac:dyDescent="0.2">
      <c r="B429" s="118"/>
    </row>
    <row r="430" spans="2:2" x14ac:dyDescent="0.2">
      <c r="B430" s="118"/>
    </row>
    <row r="431" spans="2:2" x14ac:dyDescent="0.2">
      <c r="B431" s="118"/>
    </row>
    <row r="432" spans="2:2" x14ac:dyDescent="0.2">
      <c r="B432" s="118"/>
    </row>
    <row r="433" spans="2:2" x14ac:dyDescent="0.2">
      <c r="B433" s="118"/>
    </row>
    <row r="434" spans="2:2" x14ac:dyDescent="0.2">
      <c r="B434" s="118"/>
    </row>
    <row r="435" spans="2:2" x14ac:dyDescent="0.2">
      <c r="B435" s="118"/>
    </row>
    <row r="436" spans="2:2" x14ac:dyDescent="0.2">
      <c r="B436" s="118"/>
    </row>
    <row r="437" spans="2:2" x14ac:dyDescent="0.2">
      <c r="B437" s="118"/>
    </row>
    <row r="438" spans="2:2" x14ac:dyDescent="0.2">
      <c r="B438" s="118"/>
    </row>
    <row r="439" spans="2:2" x14ac:dyDescent="0.2">
      <c r="B439" s="118"/>
    </row>
    <row r="440" spans="2:2" x14ac:dyDescent="0.2">
      <c r="B440" s="118"/>
    </row>
    <row r="441" spans="2:2" x14ac:dyDescent="0.2">
      <c r="B441" s="118"/>
    </row>
    <row r="442" spans="2:2" x14ac:dyDescent="0.2">
      <c r="B442" s="118"/>
    </row>
    <row r="443" spans="2:2" x14ac:dyDescent="0.2">
      <c r="B443" s="118"/>
    </row>
    <row r="444" spans="2:2" x14ac:dyDescent="0.2">
      <c r="B444" s="118"/>
    </row>
    <row r="445" spans="2:2" x14ac:dyDescent="0.2">
      <c r="B445" s="118"/>
    </row>
    <row r="446" spans="2:2" x14ac:dyDescent="0.2">
      <c r="B446" s="118"/>
    </row>
    <row r="447" spans="2:2" x14ac:dyDescent="0.2">
      <c r="B447" s="118"/>
    </row>
    <row r="448" spans="2:2" x14ac:dyDescent="0.2">
      <c r="B448" s="118"/>
    </row>
    <row r="449" spans="2:2" x14ac:dyDescent="0.2">
      <c r="B449" s="118"/>
    </row>
    <row r="450" spans="2:2" x14ac:dyDescent="0.2">
      <c r="B450" s="118"/>
    </row>
    <row r="451" spans="2:2" x14ac:dyDescent="0.2">
      <c r="B451" s="118"/>
    </row>
    <row r="452" spans="2:2" x14ac:dyDescent="0.2">
      <c r="B452" s="118"/>
    </row>
    <row r="453" spans="2:2" x14ac:dyDescent="0.2">
      <c r="B453" s="118"/>
    </row>
    <row r="454" spans="2:2" x14ac:dyDescent="0.2">
      <c r="B454" s="118"/>
    </row>
    <row r="455" spans="2:2" x14ac:dyDescent="0.2">
      <c r="B455" s="118"/>
    </row>
    <row r="456" spans="2:2" x14ac:dyDescent="0.2">
      <c r="B456" s="118"/>
    </row>
    <row r="457" spans="2:2" x14ac:dyDescent="0.2">
      <c r="B457" s="118"/>
    </row>
    <row r="458" spans="2:2" x14ac:dyDescent="0.2">
      <c r="B458" s="118"/>
    </row>
    <row r="459" spans="2:2" x14ac:dyDescent="0.2">
      <c r="B459" s="118"/>
    </row>
    <row r="460" spans="2:2" x14ac:dyDescent="0.2">
      <c r="B460" s="118"/>
    </row>
    <row r="461" spans="2:2" x14ac:dyDescent="0.2">
      <c r="B461" s="118"/>
    </row>
    <row r="462" spans="2:2" x14ac:dyDescent="0.2">
      <c r="B462" s="118"/>
    </row>
    <row r="463" spans="2:2" x14ac:dyDescent="0.2">
      <c r="B463" s="118"/>
    </row>
    <row r="464" spans="2:2" x14ac:dyDescent="0.2">
      <c r="B464" s="118"/>
    </row>
    <row r="465" spans="2:2" x14ac:dyDescent="0.2">
      <c r="B465" s="118"/>
    </row>
    <row r="466" spans="2:2" x14ac:dyDescent="0.2">
      <c r="B466" s="118"/>
    </row>
    <row r="467" spans="2:2" x14ac:dyDescent="0.2">
      <c r="B467" s="118"/>
    </row>
    <row r="468" spans="2:2" x14ac:dyDescent="0.2">
      <c r="B468" s="118"/>
    </row>
    <row r="469" spans="2:2" x14ac:dyDescent="0.2">
      <c r="B469" s="118"/>
    </row>
    <row r="470" spans="2:2" x14ac:dyDescent="0.2">
      <c r="B470" s="118"/>
    </row>
    <row r="471" spans="2:2" x14ac:dyDescent="0.2">
      <c r="B471" s="118"/>
    </row>
    <row r="472" spans="2:2" x14ac:dyDescent="0.2">
      <c r="B472" s="118"/>
    </row>
    <row r="473" spans="2:2" x14ac:dyDescent="0.2">
      <c r="B473" s="118"/>
    </row>
    <row r="474" spans="2:2" x14ac:dyDescent="0.2">
      <c r="B474" s="118"/>
    </row>
    <row r="475" spans="2:2" x14ac:dyDescent="0.2">
      <c r="B475" s="118"/>
    </row>
    <row r="476" spans="2:2" x14ac:dyDescent="0.2">
      <c r="B476" s="118"/>
    </row>
    <row r="477" spans="2:2" x14ac:dyDescent="0.2">
      <c r="B477" s="118"/>
    </row>
    <row r="478" spans="2:2" x14ac:dyDescent="0.2">
      <c r="B478" s="118"/>
    </row>
    <row r="479" spans="2:2" x14ac:dyDescent="0.2">
      <c r="B479" s="118"/>
    </row>
    <row r="480" spans="2:2" x14ac:dyDescent="0.2">
      <c r="B480" s="118"/>
    </row>
    <row r="481" spans="2:2" x14ac:dyDescent="0.2">
      <c r="B481" s="118"/>
    </row>
    <row r="482" spans="2:2" x14ac:dyDescent="0.2">
      <c r="B482" s="118"/>
    </row>
    <row r="483" spans="2:2" x14ac:dyDescent="0.2">
      <c r="B483" s="118"/>
    </row>
    <row r="484" spans="2:2" x14ac:dyDescent="0.2">
      <c r="B484" s="118"/>
    </row>
    <row r="485" spans="2:2" x14ac:dyDescent="0.2">
      <c r="B485" s="118"/>
    </row>
    <row r="486" spans="2:2" x14ac:dyDescent="0.2">
      <c r="B486" s="118"/>
    </row>
    <row r="487" spans="2:2" x14ac:dyDescent="0.2">
      <c r="B487" s="118"/>
    </row>
    <row r="488" spans="2:2" x14ac:dyDescent="0.2">
      <c r="B488" s="118"/>
    </row>
    <row r="489" spans="2:2" x14ac:dyDescent="0.2">
      <c r="B489" s="118"/>
    </row>
    <row r="490" spans="2:2" x14ac:dyDescent="0.2">
      <c r="B490" s="118"/>
    </row>
    <row r="491" spans="2:2" x14ac:dyDescent="0.2">
      <c r="B491" s="118"/>
    </row>
    <row r="492" spans="2:2" x14ac:dyDescent="0.2">
      <c r="B492" s="118"/>
    </row>
    <row r="493" spans="2:2" x14ac:dyDescent="0.2">
      <c r="B493" s="118"/>
    </row>
    <row r="494" spans="2:2" x14ac:dyDescent="0.2">
      <c r="B494" s="118"/>
    </row>
    <row r="495" spans="2:2" x14ac:dyDescent="0.2">
      <c r="B495" s="118"/>
    </row>
    <row r="496" spans="2:2" x14ac:dyDescent="0.2">
      <c r="B496" s="118"/>
    </row>
    <row r="497" spans="2:2" x14ac:dyDescent="0.2">
      <c r="B497" s="118"/>
    </row>
    <row r="498" spans="2:2" x14ac:dyDescent="0.2">
      <c r="B498" s="118"/>
    </row>
    <row r="499" spans="2:2" x14ac:dyDescent="0.2">
      <c r="B499" s="118"/>
    </row>
    <row r="500" spans="2:2" x14ac:dyDescent="0.2">
      <c r="B500" s="118"/>
    </row>
    <row r="501" spans="2:2" x14ac:dyDescent="0.2">
      <c r="B501" s="118"/>
    </row>
    <row r="502" spans="2:2" x14ac:dyDescent="0.2">
      <c r="B502" s="118"/>
    </row>
    <row r="503" spans="2:2" x14ac:dyDescent="0.2">
      <c r="B503" s="118"/>
    </row>
    <row r="504" spans="2:2" x14ac:dyDescent="0.2">
      <c r="B504" s="118"/>
    </row>
    <row r="505" spans="2:2" x14ac:dyDescent="0.2">
      <c r="B505" s="118"/>
    </row>
    <row r="506" spans="2:2" x14ac:dyDescent="0.2">
      <c r="B506" s="118"/>
    </row>
    <row r="507" spans="2:2" x14ac:dyDescent="0.2">
      <c r="B507" s="118"/>
    </row>
    <row r="508" spans="2:2" x14ac:dyDescent="0.2">
      <c r="B508" s="118"/>
    </row>
    <row r="509" spans="2:2" x14ac:dyDescent="0.2">
      <c r="B509" s="118"/>
    </row>
    <row r="510" spans="2:2" x14ac:dyDescent="0.2">
      <c r="B510" s="118"/>
    </row>
    <row r="511" spans="2:2" x14ac:dyDescent="0.2">
      <c r="B511" s="118"/>
    </row>
    <row r="512" spans="2:2" x14ac:dyDescent="0.2">
      <c r="B512" s="118"/>
    </row>
    <row r="513" spans="2:2" x14ac:dyDescent="0.2">
      <c r="B513" s="118"/>
    </row>
    <row r="514" spans="2:2" x14ac:dyDescent="0.2">
      <c r="B514" s="118"/>
    </row>
    <row r="515" spans="2:2" x14ac:dyDescent="0.2">
      <c r="B515" s="118"/>
    </row>
    <row r="516" spans="2:2" x14ac:dyDescent="0.2">
      <c r="B516" s="118"/>
    </row>
  </sheetData>
  <mergeCells count="9">
    <mergeCell ref="D31:F32"/>
    <mergeCell ref="H31:H32"/>
    <mergeCell ref="F7:H7"/>
    <mergeCell ref="C14:G14"/>
    <mergeCell ref="F8:H8"/>
    <mergeCell ref="B4:H4"/>
    <mergeCell ref="B5:H5"/>
    <mergeCell ref="B12:B13"/>
    <mergeCell ref="C12:F13"/>
  </mergeCells>
  <printOptions horizontalCentered="1"/>
  <pageMargins left="0.53740157499999996" right="0.39370078740157499" top="0.59055118100000004" bottom="0.143700787" header="0.511811023622047" footer="0.511811023622047"/>
  <pageSetup paperSize="256" scale="70" orientation="portrait" horizontalDpi="4294967293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2:R733"/>
  <sheetViews>
    <sheetView showGridLines="0" view="pageBreakPreview" topLeftCell="A325" zoomScale="70" zoomScaleSheetLayoutView="70" workbookViewId="0">
      <selection activeCell="J341" sqref="J341"/>
    </sheetView>
  </sheetViews>
  <sheetFormatPr defaultRowHeight="15.95" customHeight="1" x14ac:dyDescent="0.2"/>
  <cols>
    <col min="1" max="1" width="12.85546875" style="105" customWidth="1"/>
    <col min="2" max="2" width="4.7109375" style="112" customWidth="1"/>
    <col min="3" max="3" width="1.140625" style="105" customWidth="1"/>
    <col min="4" max="4" width="19.28515625" style="105" customWidth="1"/>
    <col min="5" max="5" width="1.7109375" style="105" customWidth="1"/>
    <col min="6" max="6" width="64.5703125" style="105" customWidth="1"/>
    <col min="7" max="7" width="12" style="463" customWidth="1"/>
    <col min="8" max="8" width="5.7109375" style="105" customWidth="1"/>
    <col min="9" max="9" width="17.5703125" style="105" customWidth="1"/>
    <col min="10" max="10" width="20.7109375" style="443" customWidth="1"/>
    <col min="11" max="11" width="8.7109375" style="112" customWidth="1"/>
    <col min="12" max="12" width="19" style="112" customWidth="1"/>
    <col min="13" max="13" width="17.7109375" style="105" customWidth="1"/>
    <col min="14" max="35" width="8.7109375" style="105" customWidth="1"/>
    <col min="36" max="16384" width="9.140625" style="105"/>
  </cols>
  <sheetData>
    <row r="2" spans="2:16" ht="15.95" customHeight="1" x14ac:dyDescent="0.2">
      <c r="B2" s="569"/>
      <c r="C2" s="122"/>
      <c r="D2" s="122"/>
      <c r="E2" s="122"/>
      <c r="F2" s="122"/>
      <c r="G2" s="570"/>
      <c r="H2" s="122"/>
      <c r="I2" s="122"/>
      <c r="J2" s="571"/>
    </row>
    <row r="3" spans="2:16" ht="21.75" customHeight="1" x14ac:dyDescent="0.2">
      <c r="B3" s="572" t="s">
        <v>446</v>
      </c>
      <c r="C3" s="490"/>
      <c r="D3" s="490"/>
      <c r="E3" s="490"/>
      <c r="F3" s="490"/>
      <c r="G3" s="490"/>
      <c r="H3" s="490"/>
      <c r="I3" s="490"/>
      <c r="J3" s="573"/>
    </row>
    <row r="4" spans="2:16" ht="21.75" customHeight="1" x14ac:dyDescent="0.2">
      <c r="B4" s="574"/>
      <c r="C4" s="575"/>
      <c r="D4" s="575"/>
      <c r="E4" s="575"/>
      <c r="F4" s="575"/>
      <c r="G4" s="575"/>
      <c r="H4" s="575"/>
      <c r="I4" s="575"/>
      <c r="J4" s="576"/>
    </row>
    <row r="5" spans="2:16" ht="21.75" customHeight="1" x14ac:dyDescent="0.2">
      <c r="B5" s="351"/>
      <c r="C5" s="351"/>
      <c r="D5" s="351"/>
      <c r="E5" s="351"/>
      <c r="F5" s="351"/>
      <c r="G5" s="351"/>
      <c r="H5" s="351"/>
      <c r="I5" s="351"/>
      <c r="J5" s="351"/>
    </row>
    <row r="6" spans="2:16" ht="17.100000000000001" customHeight="1" x14ac:dyDescent="0.2">
      <c r="B6" s="106"/>
      <c r="C6" s="365" t="str">
        <f>'REKAP GEDUNG'!C7</f>
        <v>PEKERJAAN</v>
      </c>
      <c r="D6" s="120"/>
      <c r="E6" s="366" t="s">
        <v>0</v>
      </c>
      <c r="F6" s="367" t="s">
        <v>382</v>
      </c>
      <c r="G6" s="106"/>
      <c r="H6" s="106"/>
      <c r="I6" s="106"/>
      <c r="J6" s="106"/>
    </row>
    <row r="7" spans="2:16" ht="17.100000000000001" customHeight="1" x14ac:dyDescent="0.2">
      <c r="B7" s="368"/>
      <c r="C7" s="365" t="str">
        <f>'REKAP GEDUNG'!C8</f>
        <v>LOKASI</v>
      </c>
      <c r="D7" s="117"/>
      <c r="E7" s="366" t="s">
        <v>0</v>
      </c>
      <c r="F7" s="369" t="s">
        <v>326</v>
      </c>
      <c r="G7" s="458"/>
      <c r="H7" s="370"/>
      <c r="I7" s="301"/>
      <c r="J7" s="301"/>
    </row>
    <row r="8" spans="2:16" ht="17.100000000000001" customHeight="1" x14ac:dyDescent="0.2">
      <c r="B8" s="368"/>
      <c r="C8" s="365" t="str">
        <f>'REKAP GEDUNG'!C9</f>
        <v>TAHUN ANGGARAN</v>
      </c>
      <c r="D8" s="117"/>
      <c r="E8" s="366" t="s">
        <v>0</v>
      </c>
      <c r="F8" s="371" t="s">
        <v>360</v>
      </c>
      <c r="G8" s="458"/>
      <c r="H8" s="370"/>
      <c r="I8" s="301"/>
      <c r="J8" s="301"/>
    </row>
    <row r="9" spans="2:16" ht="17.100000000000001" customHeight="1" thickBot="1" x14ac:dyDescent="0.25">
      <c r="B9" s="368"/>
      <c r="C9" s="365"/>
      <c r="D9" s="117"/>
      <c r="E9" s="366"/>
      <c r="F9" s="371"/>
      <c r="G9" s="458"/>
      <c r="H9" s="370"/>
      <c r="I9" s="301"/>
      <c r="J9" s="301"/>
      <c r="O9" s="105" t="s">
        <v>361</v>
      </c>
      <c r="P9" s="105" t="s">
        <v>362</v>
      </c>
    </row>
    <row r="10" spans="2:16" ht="14.1" customHeight="1" x14ac:dyDescent="0.2">
      <c r="B10" s="501" t="s">
        <v>5</v>
      </c>
      <c r="C10" s="506" t="s">
        <v>6</v>
      </c>
      <c r="D10" s="507"/>
      <c r="E10" s="507"/>
      <c r="F10" s="508"/>
      <c r="G10" s="512" t="s">
        <v>160</v>
      </c>
      <c r="H10" s="513"/>
      <c r="I10" s="372" t="s">
        <v>20</v>
      </c>
      <c r="J10" s="373" t="s">
        <v>7</v>
      </c>
      <c r="M10" s="105">
        <f>63.65+12.62+7.7+6.74+1.74+2.43+1.3+14+5+6.35</f>
        <v>121.52999999999999</v>
      </c>
      <c r="O10" s="105">
        <f>3.7*3*2</f>
        <v>22.200000000000003</v>
      </c>
      <c r="P10" s="105">
        <f>(4.29+2.38)*3</f>
        <v>20.009999999999998</v>
      </c>
    </row>
    <row r="11" spans="2:16" ht="14.1" customHeight="1" x14ac:dyDescent="0.2">
      <c r="B11" s="502"/>
      <c r="C11" s="509"/>
      <c r="D11" s="510"/>
      <c r="E11" s="510"/>
      <c r="F11" s="511"/>
      <c r="G11" s="514"/>
      <c r="H11" s="515"/>
      <c r="I11" s="374" t="s">
        <v>161</v>
      </c>
      <c r="J11" s="375" t="s">
        <v>161</v>
      </c>
      <c r="M11" s="105">
        <f>6.65+17+5+26.86+3.32+12+3+13</f>
        <v>86.83</v>
      </c>
      <c r="O11" s="105">
        <f>5.28*3</f>
        <v>15.84</v>
      </c>
    </row>
    <row r="12" spans="2:16" ht="14.1" customHeight="1" thickBot="1" x14ac:dyDescent="0.25">
      <c r="B12" s="376">
        <v>1</v>
      </c>
      <c r="C12" s="503">
        <v>2</v>
      </c>
      <c r="D12" s="504"/>
      <c r="E12" s="504"/>
      <c r="F12" s="505"/>
      <c r="G12" s="377" t="s">
        <v>21</v>
      </c>
      <c r="H12" s="378"/>
      <c r="I12" s="379" t="s">
        <v>22</v>
      </c>
      <c r="J12" s="380" t="s">
        <v>23</v>
      </c>
      <c r="M12" s="105">
        <f>+(23.3+6.6)*2.5</f>
        <v>74.75</v>
      </c>
      <c r="O12" s="105">
        <f>((2+1.75)*2)*3</f>
        <v>22.5</v>
      </c>
    </row>
    <row r="13" spans="2:16" ht="15" customHeight="1" thickTop="1" x14ac:dyDescent="0.2">
      <c r="B13" s="381" t="s">
        <v>42</v>
      </c>
      <c r="C13" s="382"/>
      <c r="D13" s="383" t="s">
        <v>25</v>
      </c>
      <c r="E13" s="384"/>
      <c r="F13" s="384"/>
      <c r="G13" s="439"/>
      <c r="H13" s="385"/>
      <c r="I13" s="386"/>
      <c r="J13" s="246"/>
      <c r="M13" s="105">
        <f>14+4.25</f>
        <v>18.25</v>
      </c>
      <c r="O13" s="105">
        <f>5.44*4*3</f>
        <v>65.28</v>
      </c>
    </row>
    <row r="14" spans="2:16" ht="15" customHeight="1" x14ac:dyDescent="0.2">
      <c r="B14" s="387">
        <v>1</v>
      </c>
      <c r="C14" s="388"/>
      <c r="D14" s="388" t="s">
        <v>51</v>
      </c>
      <c r="E14" s="388"/>
      <c r="F14" s="388"/>
      <c r="G14" s="244">
        <f>'BACK UP '!K15</f>
        <v>1</v>
      </c>
      <c r="H14" s="245" t="s">
        <v>30</v>
      </c>
      <c r="I14" s="386">
        <v>0</v>
      </c>
      <c r="J14" s="577">
        <f t="shared" ref="J14:J27" si="0">I14*G14</f>
        <v>0</v>
      </c>
      <c r="O14" s="105">
        <f>5.28*3</f>
        <v>15.84</v>
      </c>
    </row>
    <row r="15" spans="2:16" ht="15" customHeight="1" x14ac:dyDescent="0.2">
      <c r="B15" s="387">
        <v>2</v>
      </c>
      <c r="C15" s="388"/>
      <c r="D15" s="388" t="s">
        <v>197</v>
      </c>
      <c r="E15" s="388"/>
      <c r="F15" s="388"/>
      <c r="G15" s="244">
        <f>16.22+5.1+5.1</f>
        <v>26.42</v>
      </c>
      <c r="H15" s="245" t="s">
        <v>19</v>
      </c>
      <c r="I15" s="386">
        <v>0</v>
      </c>
      <c r="J15" s="246">
        <f t="shared" si="0"/>
        <v>0</v>
      </c>
      <c r="L15" s="112">
        <f>7.16*5.28</f>
        <v>37.8048</v>
      </c>
      <c r="M15" s="105">
        <f>0.08-0.03</f>
        <v>0.05</v>
      </c>
      <c r="O15" s="105">
        <f>3.58*3</f>
        <v>10.74</v>
      </c>
    </row>
    <row r="16" spans="2:16" ht="15" customHeight="1" x14ac:dyDescent="0.2">
      <c r="B16" s="387">
        <v>3</v>
      </c>
      <c r="C16" s="388"/>
      <c r="D16" s="388" t="s">
        <v>200</v>
      </c>
      <c r="E16" s="388"/>
      <c r="F16" s="388"/>
      <c r="G16" s="244">
        <f>4*6</f>
        <v>24</v>
      </c>
      <c r="H16" s="245" t="s">
        <v>26</v>
      </c>
      <c r="I16" s="386">
        <v>0</v>
      </c>
      <c r="J16" s="246">
        <f t="shared" si="0"/>
        <v>0</v>
      </c>
      <c r="O16" s="105">
        <f>(1.6+1.3+0.65+0.65)*3</f>
        <v>12.600000000000001</v>
      </c>
    </row>
    <row r="17" spans="2:13" ht="15" customHeight="1" x14ac:dyDescent="0.2">
      <c r="B17" s="387">
        <v>4</v>
      </c>
      <c r="C17" s="388"/>
      <c r="D17" s="388" t="s">
        <v>320</v>
      </c>
      <c r="E17" s="388"/>
      <c r="F17" s="388"/>
      <c r="G17" s="244">
        <f>SUM(+O10+O11+O12+O13+O14+O15+O16+P10)*0.13</f>
        <v>24.051300000000001</v>
      </c>
      <c r="H17" s="245" t="s">
        <v>28</v>
      </c>
      <c r="I17" s="386">
        <v>0</v>
      </c>
      <c r="J17" s="246">
        <f t="shared" si="0"/>
        <v>0</v>
      </c>
    </row>
    <row r="18" spans="2:13" ht="15" customHeight="1" x14ac:dyDescent="0.2">
      <c r="B18" s="387">
        <v>5</v>
      </c>
      <c r="C18" s="388"/>
      <c r="D18" s="388" t="s">
        <v>368</v>
      </c>
      <c r="E18" s="388"/>
      <c r="F18" s="388"/>
      <c r="G18" s="244">
        <f>26.82*0.12</f>
        <v>3.2183999999999999</v>
      </c>
      <c r="H18" s="245" t="s">
        <v>28</v>
      </c>
      <c r="I18" s="386">
        <v>0</v>
      </c>
      <c r="J18" s="246">
        <f t="shared" si="0"/>
        <v>0</v>
      </c>
      <c r="L18" s="405">
        <f>SUM(J17:J24)</f>
        <v>0</v>
      </c>
    </row>
    <row r="19" spans="2:13" ht="15" customHeight="1" x14ac:dyDescent="0.2">
      <c r="B19" s="387">
        <v>6</v>
      </c>
      <c r="C19" s="388"/>
      <c r="D19" s="388" t="s">
        <v>363</v>
      </c>
      <c r="E19" s="388"/>
      <c r="F19" s="388"/>
      <c r="G19" s="244">
        <f>'BACK UP '!K20</f>
        <v>1</v>
      </c>
      <c r="H19" s="245" t="s">
        <v>30</v>
      </c>
      <c r="I19" s="386">
        <v>0</v>
      </c>
      <c r="J19" s="246">
        <f t="shared" si="0"/>
        <v>0</v>
      </c>
    </row>
    <row r="20" spans="2:13" ht="15" customHeight="1" x14ac:dyDescent="0.2">
      <c r="B20" s="387">
        <v>7</v>
      </c>
      <c r="C20" s="388"/>
      <c r="D20" s="388" t="s">
        <v>364</v>
      </c>
      <c r="E20" s="388"/>
      <c r="F20" s="388"/>
      <c r="G20" s="244">
        <f>236*2</f>
        <v>472</v>
      </c>
      <c r="H20" s="245" t="s">
        <v>26</v>
      </c>
      <c r="I20" s="386">
        <v>0</v>
      </c>
      <c r="J20" s="246">
        <f t="shared" si="0"/>
        <v>0</v>
      </c>
    </row>
    <row r="21" spans="2:13" ht="15" customHeight="1" x14ac:dyDescent="0.2">
      <c r="B21" s="387">
        <v>8</v>
      </c>
      <c r="C21" s="388"/>
      <c r="D21" s="388" t="s">
        <v>365</v>
      </c>
      <c r="E21" s="388"/>
      <c r="F21" s="388"/>
      <c r="G21" s="244">
        <v>1</v>
      </c>
      <c r="H21" s="245" t="s">
        <v>30</v>
      </c>
      <c r="I21" s="386">
        <v>0</v>
      </c>
      <c r="J21" s="246">
        <f t="shared" si="0"/>
        <v>0</v>
      </c>
    </row>
    <row r="22" spans="2:13" ht="15" customHeight="1" x14ac:dyDescent="0.2">
      <c r="B22" s="387">
        <v>9</v>
      </c>
      <c r="C22" s="388"/>
      <c r="D22" s="388" t="s">
        <v>423</v>
      </c>
      <c r="E22" s="388"/>
      <c r="F22" s="388"/>
      <c r="G22" s="244">
        <v>1</v>
      </c>
      <c r="H22" s="245" t="s">
        <v>30</v>
      </c>
      <c r="I22" s="386">
        <v>0</v>
      </c>
      <c r="J22" s="246">
        <f t="shared" ref="J22" si="1">I22*G22</f>
        <v>0</v>
      </c>
    </row>
    <row r="23" spans="2:13" ht="15" customHeight="1" x14ac:dyDescent="0.2">
      <c r="B23" s="387">
        <v>10</v>
      </c>
      <c r="C23" s="388"/>
      <c r="D23" s="388" t="s">
        <v>322</v>
      </c>
      <c r="E23" s="388"/>
      <c r="F23" s="388"/>
      <c r="G23" s="244">
        <f>+M24+M27</f>
        <v>3.1896</v>
      </c>
      <c r="H23" s="245" t="s">
        <v>28</v>
      </c>
      <c r="I23" s="386">
        <v>0</v>
      </c>
      <c r="J23" s="246">
        <f t="shared" si="0"/>
        <v>0</v>
      </c>
    </row>
    <row r="24" spans="2:13" ht="15" customHeight="1" x14ac:dyDescent="0.2">
      <c r="B24" s="387">
        <v>11</v>
      </c>
      <c r="C24" s="388"/>
      <c r="D24" s="388" t="s">
        <v>327</v>
      </c>
      <c r="E24" s="388"/>
      <c r="F24" s="388"/>
      <c r="G24" s="244">
        <f>(37.8)*0.12</f>
        <v>4.5359999999999996</v>
      </c>
      <c r="H24" s="245" t="s">
        <v>28</v>
      </c>
      <c r="I24" s="386">
        <v>0</v>
      </c>
      <c r="J24" s="246">
        <f t="shared" si="0"/>
        <v>0</v>
      </c>
      <c r="L24" s="112">
        <f>14*4</f>
        <v>56</v>
      </c>
      <c r="M24" s="105">
        <f>(0.86*1.5)*2</f>
        <v>2.58</v>
      </c>
    </row>
    <row r="25" spans="2:13" ht="15" customHeight="1" x14ac:dyDescent="0.2">
      <c r="B25" s="387">
        <v>12</v>
      </c>
      <c r="C25" s="388"/>
      <c r="D25" s="388" t="s">
        <v>395</v>
      </c>
      <c r="E25" s="388"/>
      <c r="F25" s="388"/>
      <c r="G25" s="244">
        <v>1</v>
      </c>
      <c r="H25" s="245" t="s">
        <v>30</v>
      </c>
      <c r="I25" s="386">
        <v>0</v>
      </c>
      <c r="J25" s="246">
        <f>I25*G25</f>
        <v>0</v>
      </c>
      <c r="L25" s="112">
        <f>14*4</f>
        <v>56</v>
      </c>
      <c r="M25" s="105">
        <f>(0.86*1.5)*2</f>
        <v>2.58</v>
      </c>
    </row>
    <row r="26" spans="2:13" ht="15" customHeight="1" x14ac:dyDescent="0.2">
      <c r="B26" s="387">
        <v>13</v>
      </c>
      <c r="C26" s="388"/>
      <c r="D26" s="388" t="s">
        <v>198</v>
      </c>
      <c r="E26" s="388"/>
      <c r="F26" s="388"/>
      <c r="G26" s="244">
        <f>'BACK UP '!K26</f>
        <v>1</v>
      </c>
      <c r="H26" s="245" t="s">
        <v>30</v>
      </c>
      <c r="I26" s="386">
        <v>0</v>
      </c>
      <c r="J26" s="246">
        <f t="shared" si="0"/>
        <v>0</v>
      </c>
      <c r="L26" s="112">
        <f>SUM(L24:L24)</f>
        <v>56</v>
      </c>
    </row>
    <row r="27" spans="2:13" ht="15" customHeight="1" x14ac:dyDescent="0.2">
      <c r="B27" s="387">
        <v>14</v>
      </c>
      <c r="C27" s="388"/>
      <c r="D27" s="388" t="s">
        <v>191</v>
      </c>
      <c r="E27" s="388"/>
      <c r="F27" s="388"/>
      <c r="G27" s="244">
        <f>'BACK UP '!K28</f>
        <v>1</v>
      </c>
      <c r="H27" s="245" t="s">
        <v>30</v>
      </c>
      <c r="I27" s="386">
        <v>0</v>
      </c>
      <c r="J27" s="246">
        <f t="shared" si="0"/>
        <v>0</v>
      </c>
      <c r="M27" s="105">
        <f>5.08*0.12</f>
        <v>0.60960000000000003</v>
      </c>
    </row>
    <row r="28" spans="2:13" ht="15" customHeight="1" x14ac:dyDescent="0.2">
      <c r="B28" s="387">
        <v>15</v>
      </c>
      <c r="C28" s="388"/>
      <c r="D28" s="388" t="s">
        <v>321</v>
      </c>
      <c r="E28" s="388"/>
      <c r="F28" s="388"/>
      <c r="G28" s="244">
        <v>1</v>
      </c>
      <c r="H28" s="245" t="s">
        <v>30</v>
      </c>
      <c r="I28" s="386">
        <v>0</v>
      </c>
      <c r="J28" s="246">
        <f>I28*G28</f>
        <v>0</v>
      </c>
    </row>
    <row r="29" spans="2:13" ht="15" customHeight="1" x14ac:dyDescent="0.2">
      <c r="B29" s="387">
        <v>15</v>
      </c>
      <c r="C29" s="388"/>
      <c r="D29" s="388" t="s">
        <v>424</v>
      </c>
      <c r="E29" s="388"/>
      <c r="F29" s="388"/>
      <c r="G29" s="244">
        <v>1</v>
      </c>
      <c r="H29" s="245" t="s">
        <v>30</v>
      </c>
      <c r="I29" s="386">
        <v>0</v>
      </c>
      <c r="J29" s="246">
        <f>I29*G29</f>
        <v>0</v>
      </c>
    </row>
    <row r="30" spans="2:13" ht="15" customHeight="1" thickBot="1" x14ac:dyDescent="0.25">
      <c r="B30" s="387"/>
      <c r="C30" s="388"/>
      <c r="D30" s="388"/>
      <c r="E30" s="388"/>
      <c r="F30" s="388"/>
      <c r="G30" s="244"/>
      <c r="H30" s="245"/>
      <c r="I30" s="240"/>
      <c r="J30" s="389"/>
    </row>
    <row r="31" spans="2:13" ht="15" customHeight="1" thickBot="1" x14ac:dyDescent="0.25">
      <c r="B31" s="495"/>
      <c r="C31" s="496"/>
      <c r="D31" s="496"/>
      <c r="E31" s="496"/>
      <c r="F31" s="496"/>
      <c r="G31" s="496"/>
      <c r="H31" s="496"/>
      <c r="I31" s="342" t="s">
        <v>165</v>
      </c>
      <c r="J31" s="343">
        <f>SUM(J14:J30)</f>
        <v>0</v>
      </c>
    </row>
    <row r="32" spans="2:13" ht="15" customHeight="1" x14ac:dyDescent="0.2">
      <c r="B32" s="390" t="s">
        <v>59</v>
      </c>
      <c r="C32" s="391"/>
      <c r="D32" s="302" t="s">
        <v>27</v>
      </c>
      <c r="E32" s="302"/>
      <c r="F32" s="302"/>
      <c r="G32" s="391"/>
      <c r="H32" s="392"/>
      <c r="I32" s="393"/>
      <c r="J32" s="394"/>
      <c r="L32" s="405">
        <f>+J31</f>
        <v>0</v>
      </c>
    </row>
    <row r="33" spans="1:15" ht="18.75" customHeight="1" x14ac:dyDescent="0.2">
      <c r="B33" s="340">
        <v>1</v>
      </c>
      <c r="C33" s="243"/>
      <c r="D33" s="242" t="s">
        <v>162</v>
      </c>
      <c r="E33" s="243"/>
      <c r="F33" s="243"/>
      <c r="G33" s="244">
        <f>+((1.5*1.5*2)*10)+((1.2*1.2*2)*19)+(0.4*0.6*141.1)</f>
        <v>133.584</v>
      </c>
      <c r="H33" s="245" t="s">
        <v>28</v>
      </c>
      <c r="I33" s="386">
        <v>0</v>
      </c>
      <c r="J33" s="246">
        <f>I33*G33</f>
        <v>0</v>
      </c>
    </row>
    <row r="34" spans="1:15" ht="15" customHeight="1" x14ac:dyDescent="0.2">
      <c r="A34" s="395"/>
      <c r="B34" s="340">
        <f>B33+1</f>
        <v>2</v>
      </c>
      <c r="C34" s="243"/>
      <c r="D34" s="242" t="s">
        <v>41</v>
      </c>
      <c r="E34" s="243"/>
      <c r="F34" s="243"/>
      <c r="G34" s="244">
        <f>G33/3</f>
        <v>44.527999999999999</v>
      </c>
      <c r="H34" s="245" t="s">
        <v>28</v>
      </c>
      <c r="I34" s="386">
        <v>0</v>
      </c>
      <c r="J34" s="246">
        <f>I34*G34</f>
        <v>0</v>
      </c>
      <c r="L34" s="112">
        <f>139.9+1.2</f>
        <v>141.1</v>
      </c>
      <c r="M34" s="105">
        <f>4.1*5</f>
        <v>20.5</v>
      </c>
      <c r="O34" s="105">
        <v>1182</v>
      </c>
    </row>
    <row r="35" spans="1:15" ht="15" customHeight="1" x14ac:dyDescent="0.2">
      <c r="B35" s="340">
        <f>B34+1</f>
        <v>3</v>
      </c>
      <c r="C35" s="243"/>
      <c r="D35" s="242" t="s">
        <v>163</v>
      </c>
      <c r="E35" s="243"/>
      <c r="F35" s="243"/>
      <c r="G35" s="244">
        <f>74.71*2</f>
        <v>149.41999999999999</v>
      </c>
      <c r="H35" s="245" t="s">
        <v>28</v>
      </c>
      <c r="I35" s="386">
        <v>0</v>
      </c>
      <c r="J35" s="246">
        <f>I35*G35</f>
        <v>0</v>
      </c>
      <c r="M35" s="396">
        <f>3.75*2</f>
        <v>7.5</v>
      </c>
      <c r="O35" s="396">
        <f>O34/M35</f>
        <v>157.6</v>
      </c>
    </row>
    <row r="36" spans="1:15" ht="15" customHeight="1" x14ac:dyDescent="0.2">
      <c r="B36" s="340">
        <f>B35+1</f>
        <v>4</v>
      </c>
      <c r="C36" s="243"/>
      <c r="D36" s="242" t="s">
        <v>164</v>
      </c>
      <c r="E36" s="243"/>
      <c r="F36" s="243"/>
      <c r="G36" s="244">
        <f>+G33*0.05</f>
        <v>6.6792000000000007</v>
      </c>
      <c r="H36" s="245" t="s">
        <v>28</v>
      </c>
      <c r="I36" s="386">
        <v>0</v>
      </c>
      <c r="J36" s="246">
        <f>I36*G36</f>
        <v>0</v>
      </c>
      <c r="M36" s="105">
        <f>4.98*2</f>
        <v>9.9600000000000009</v>
      </c>
    </row>
    <row r="37" spans="1:15" ht="15" customHeight="1" thickBot="1" x14ac:dyDescent="0.25">
      <c r="B37" s="340"/>
      <c r="C37" s="243"/>
      <c r="D37" s="242"/>
      <c r="E37" s="243"/>
      <c r="F37" s="243"/>
      <c r="G37" s="244"/>
      <c r="H37" s="245"/>
      <c r="I37" s="240"/>
      <c r="J37" s="246"/>
      <c r="M37" s="105">
        <f>9+8.63+11.7+5.2+2.485+3.58+3.58+1.8+9.85+3.56+2.7+1.5+2.7+2.5+3.5+10.7+8.79+6.635+5.28+3.58</f>
        <v>107.27000000000001</v>
      </c>
    </row>
    <row r="38" spans="1:15" ht="15" customHeight="1" thickBot="1" x14ac:dyDescent="0.25">
      <c r="B38" s="495"/>
      <c r="C38" s="496"/>
      <c r="D38" s="496"/>
      <c r="E38" s="496"/>
      <c r="F38" s="496"/>
      <c r="G38" s="496"/>
      <c r="H38" s="496"/>
      <c r="I38" s="342" t="s">
        <v>165</v>
      </c>
      <c r="J38" s="343">
        <f>SUM(J33:J37)</f>
        <v>0</v>
      </c>
      <c r="M38" s="105">
        <f>SUM(M34:M37)</f>
        <v>145.23000000000002</v>
      </c>
    </row>
    <row r="39" spans="1:15" ht="15" customHeight="1" x14ac:dyDescent="0.2">
      <c r="B39" s="397" t="s">
        <v>60</v>
      </c>
      <c r="C39" s="398"/>
      <c r="D39" s="399" t="s">
        <v>199</v>
      </c>
      <c r="E39" s="109"/>
      <c r="F39" s="109"/>
      <c r="G39" s="422"/>
      <c r="H39" s="400"/>
      <c r="I39" s="401"/>
      <c r="J39" s="389"/>
      <c r="L39" s="459">
        <f>+L32+J38</f>
        <v>0</v>
      </c>
    </row>
    <row r="40" spans="1:15" ht="15" customHeight="1" x14ac:dyDescent="0.2">
      <c r="B40" s="340">
        <v>1</v>
      </c>
      <c r="C40" s="243"/>
      <c r="D40" s="242" t="s">
        <v>312</v>
      </c>
      <c r="E40" s="243"/>
      <c r="F40" s="243"/>
      <c r="G40" s="402">
        <f>139.09*0.05</f>
        <v>6.9545000000000003</v>
      </c>
      <c r="H40" s="245" t="s">
        <v>28</v>
      </c>
      <c r="I40" s="386">
        <v>0</v>
      </c>
      <c r="J40" s="246">
        <f t="shared" ref="J40:J46" si="2">I40*G40</f>
        <v>0</v>
      </c>
    </row>
    <row r="41" spans="1:15" ht="15" customHeight="1" x14ac:dyDescent="0.2">
      <c r="A41" s="395"/>
      <c r="B41" s="340">
        <f>+B40+1</f>
        <v>2</v>
      </c>
      <c r="C41" s="243"/>
      <c r="D41" s="242" t="s">
        <v>402</v>
      </c>
      <c r="E41" s="243"/>
      <c r="F41" s="243"/>
      <c r="G41" s="244">
        <f>+(1.2*1.2*0.3)*10</f>
        <v>4.32</v>
      </c>
      <c r="H41" s="245" t="s">
        <v>28</v>
      </c>
      <c r="I41" s="386">
        <v>0</v>
      </c>
      <c r="J41" s="246">
        <f>I41*G41</f>
        <v>0</v>
      </c>
    </row>
    <row r="42" spans="1:15" ht="15" customHeight="1" x14ac:dyDescent="0.2">
      <c r="A42" s="403"/>
      <c r="B42" s="340">
        <f>B41+1</f>
        <v>3</v>
      </c>
      <c r="C42" s="243"/>
      <c r="D42" s="242" t="s">
        <v>403</v>
      </c>
      <c r="E42" s="243"/>
      <c r="F42" s="243"/>
      <c r="G42" s="244">
        <f>+(1*1*0.3)*19</f>
        <v>5.7</v>
      </c>
      <c r="H42" s="245" t="s">
        <v>28</v>
      </c>
      <c r="I42" s="386">
        <v>0</v>
      </c>
      <c r="J42" s="246">
        <f>I42*G42</f>
        <v>0</v>
      </c>
      <c r="L42" s="244">
        <f>+(8.2+3.58+5+6.55+3.55+1.79+2.55+5.28+7.73+3.5+3.5+7.1+2.85+7+3.7+3)</f>
        <v>74.88000000000001</v>
      </c>
    </row>
    <row r="43" spans="1:15" ht="15" customHeight="1" x14ac:dyDescent="0.2">
      <c r="A43" s="403"/>
      <c r="B43" s="340">
        <f>B42+1</f>
        <v>4</v>
      </c>
      <c r="C43" s="243"/>
      <c r="D43" s="242" t="s">
        <v>369</v>
      </c>
      <c r="E43" s="243"/>
      <c r="F43" s="243"/>
      <c r="G43" s="244">
        <f>+(0.3*0.3*2)*10</f>
        <v>1.7999999999999998</v>
      </c>
      <c r="H43" s="245" t="s">
        <v>28</v>
      </c>
      <c r="I43" s="386">
        <v>0</v>
      </c>
      <c r="J43" s="246">
        <f t="shared" si="2"/>
        <v>0</v>
      </c>
    </row>
    <row r="44" spans="1:15" ht="15" customHeight="1" x14ac:dyDescent="0.2">
      <c r="A44" s="403"/>
      <c r="B44" s="340">
        <f>B43+1</f>
        <v>5</v>
      </c>
      <c r="C44" s="243"/>
      <c r="D44" s="242" t="s">
        <v>313</v>
      </c>
      <c r="E44" s="243"/>
      <c r="F44" s="243"/>
      <c r="G44" s="244">
        <f>+(0.25*0.25*2)*9</f>
        <v>1.125</v>
      </c>
      <c r="H44" s="245" t="s">
        <v>28</v>
      </c>
      <c r="I44" s="386">
        <v>0</v>
      </c>
      <c r="J44" s="246">
        <f t="shared" si="2"/>
        <v>0</v>
      </c>
    </row>
    <row r="45" spans="1:15" ht="15" customHeight="1" x14ac:dyDescent="0.2">
      <c r="A45" s="403"/>
      <c r="B45" s="340">
        <f>B44+1</f>
        <v>6</v>
      </c>
      <c r="C45" s="243"/>
      <c r="D45" s="242" t="s">
        <v>370</v>
      </c>
      <c r="E45" s="243"/>
      <c r="F45" s="243"/>
      <c r="G45" s="244">
        <f>(0.3*0.2*2)*10</f>
        <v>1.2</v>
      </c>
      <c r="H45" s="245" t="s">
        <v>28</v>
      </c>
      <c r="I45" s="386">
        <v>0</v>
      </c>
      <c r="J45" s="246">
        <f t="shared" si="2"/>
        <v>0</v>
      </c>
      <c r="L45" s="112">
        <f>150.79+1.2</f>
        <v>151.98999999999998</v>
      </c>
    </row>
    <row r="46" spans="1:15" ht="15" customHeight="1" x14ac:dyDescent="0.2">
      <c r="A46" s="403"/>
      <c r="B46" s="340">
        <f>B45+1</f>
        <v>7</v>
      </c>
      <c r="C46" s="243"/>
      <c r="D46" s="242" t="s">
        <v>166</v>
      </c>
      <c r="E46" s="243"/>
      <c r="F46" s="243"/>
      <c r="G46" s="244">
        <f>+(0.6*0.4)*141.1</f>
        <v>33.863999999999997</v>
      </c>
      <c r="H46" s="245" t="s">
        <v>28</v>
      </c>
      <c r="I46" s="386">
        <v>0</v>
      </c>
      <c r="J46" s="246">
        <f t="shared" si="2"/>
        <v>0</v>
      </c>
    </row>
    <row r="47" spans="1:15" ht="15" customHeight="1" thickBot="1" x14ac:dyDescent="0.25">
      <c r="B47" s="340"/>
      <c r="C47" s="243"/>
      <c r="D47" s="242"/>
      <c r="E47" s="243"/>
      <c r="F47" s="243"/>
      <c r="G47" s="244"/>
      <c r="H47" s="245"/>
      <c r="I47" s="240"/>
      <c r="J47" s="246"/>
    </row>
    <row r="48" spans="1:15" ht="15" customHeight="1" thickBot="1" x14ac:dyDescent="0.25">
      <c r="B48" s="495"/>
      <c r="C48" s="496"/>
      <c r="D48" s="496"/>
      <c r="E48" s="496"/>
      <c r="F48" s="496"/>
      <c r="G48" s="496"/>
      <c r="H48" s="496"/>
      <c r="I48" s="342" t="s">
        <v>165</v>
      </c>
      <c r="J48" s="343">
        <f>SUM(J40:J47)</f>
        <v>0</v>
      </c>
    </row>
    <row r="49" spans="2:13" ht="15" customHeight="1" x14ac:dyDescent="0.2">
      <c r="B49" s="397" t="s">
        <v>61</v>
      </c>
      <c r="C49" s="398"/>
      <c r="D49" s="399" t="s">
        <v>226</v>
      </c>
      <c r="E49" s="109"/>
      <c r="F49" s="109"/>
      <c r="G49" s="406"/>
      <c r="H49" s="400"/>
      <c r="I49" s="401"/>
      <c r="J49" s="389"/>
      <c r="L49" s="459">
        <f>+L39+J48</f>
        <v>0</v>
      </c>
    </row>
    <row r="50" spans="2:13" ht="15" customHeight="1" x14ac:dyDescent="0.2">
      <c r="B50" s="340"/>
      <c r="C50" s="243"/>
      <c r="D50" s="282" t="s">
        <v>262</v>
      </c>
      <c r="E50" s="243"/>
      <c r="F50" s="243"/>
      <c r="G50" s="244"/>
      <c r="H50" s="245"/>
      <c r="I50" s="240"/>
      <c r="J50" s="246"/>
      <c r="M50" s="105">
        <v>44.4</v>
      </c>
    </row>
    <row r="51" spans="2:13" ht="15" customHeight="1" x14ac:dyDescent="0.2">
      <c r="B51" s="340">
        <v>1</v>
      </c>
      <c r="C51" s="243"/>
      <c r="D51" s="242" t="s">
        <v>437</v>
      </c>
      <c r="E51" s="243"/>
      <c r="F51" s="243"/>
      <c r="G51" s="244">
        <f>+(0.25*0.35)*152</f>
        <v>13.299999999999999</v>
      </c>
      <c r="H51" s="245" t="s">
        <v>28</v>
      </c>
      <c r="I51" s="386">
        <v>0</v>
      </c>
      <c r="J51" s="246">
        <f t="shared" ref="J51:J56" si="3">I51*G51</f>
        <v>0</v>
      </c>
      <c r="M51" s="105">
        <v>145.22999999999999</v>
      </c>
    </row>
    <row r="52" spans="2:13" ht="15" customHeight="1" x14ac:dyDescent="0.2">
      <c r="B52" s="340">
        <f>+B51+1</f>
        <v>2</v>
      </c>
      <c r="C52" s="243"/>
      <c r="D52" s="242" t="s">
        <v>435</v>
      </c>
      <c r="E52" s="243"/>
      <c r="F52" s="243"/>
      <c r="G52" s="244">
        <f>+(0.4*0.2*3.5)*10</f>
        <v>2.8000000000000003</v>
      </c>
      <c r="H52" s="245" t="s">
        <v>28</v>
      </c>
      <c r="I52" s="386">
        <v>0</v>
      </c>
      <c r="J52" s="246">
        <f t="shared" si="3"/>
        <v>0</v>
      </c>
    </row>
    <row r="53" spans="2:13" ht="15" customHeight="1" x14ac:dyDescent="0.2">
      <c r="B53" s="340">
        <f t="shared" ref="B53:B66" si="4">+B52+1</f>
        <v>3</v>
      </c>
      <c r="C53" s="243"/>
      <c r="D53" s="242" t="s">
        <v>314</v>
      </c>
      <c r="E53" s="243"/>
      <c r="F53" s="243"/>
      <c r="G53" s="244">
        <f>+(0.25*0.25*3.5)*9</f>
        <v>1.96875</v>
      </c>
      <c r="H53" s="245" t="s">
        <v>28</v>
      </c>
      <c r="I53" s="386">
        <v>0</v>
      </c>
      <c r="J53" s="246">
        <f t="shared" si="3"/>
        <v>0</v>
      </c>
      <c r="M53" s="105">
        <f>+M51+M50</f>
        <v>189.63</v>
      </c>
    </row>
    <row r="54" spans="2:13" ht="15" customHeight="1" x14ac:dyDescent="0.2">
      <c r="B54" s="340">
        <f t="shared" si="4"/>
        <v>4</v>
      </c>
      <c r="C54" s="243"/>
      <c r="D54" s="242" t="s">
        <v>371</v>
      </c>
      <c r="E54" s="243"/>
      <c r="F54" s="243"/>
      <c r="G54" s="244">
        <f>(0.3*0.2*3.5)*10</f>
        <v>2.1</v>
      </c>
      <c r="H54" s="245" t="s">
        <v>28</v>
      </c>
      <c r="I54" s="386">
        <v>0</v>
      </c>
      <c r="J54" s="246">
        <f t="shared" si="3"/>
        <v>0</v>
      </c>
    </row>
    <row r="55" spans="2:13" ht="15" customHeight="1" x14ac:dyDescent="0.2">
      <c r="B55" s="340">
        <f t="shared" si="4"/>
        <v>5</v>
      </c>
      <c r="C55" s="243"/>
      <c r="D55" s="242" t="s">
        <v>213</v>
      </c>
      <c r="E55" s="243"/>
      <c r="F55" s="243"/>
      <c r="G55" s="244">
        <f>+(1*1.85)*2</f>
        <v>3.7</v>
      </c>
      <c r="H55" s="245" t="s">
        <v>28</v>
      </c>
      <c r="I55" s="386">
        <v>0</v>
      </c>
      <c r="J55" s="246">
        <f t="shared" si="3"/>
        <v>0</v>
      </c>
    </row>
    <row r="56" spans="2:13" ht="15" customHeight="1" x14ac:dyDescent="0.2">
      <c r="B56" s="340">
        <f t="shared" si="4"/>
        <v>6</v>
      </c>
      <c r="C56" s="243"/>
      <c r="D56" s="242" t="s">
        <v>214</v>
      </c>
      <c r="E56" s="243"/>
      <c r="F56" s="243"/>
      <c r="G56" s="244">
        <f>5.09*0.15</f>
        <v>0.76349999999999996</v>
      </c>
      <c r="H56" s="245" t="s">
        <v>28</v>
      </c>
      <c r="I56" s="386">
        <v>0</v>
      </c>
      <c r="J56" s="246">
        <f t="shared" si="3"/>
        <v>0</v>
      </c>
    </row>
    <row r="57" spans="2:13" ht="15" customHeight="1" x14ac:dyDescent="0.2">
      <c r="B57" s="340">
        <f t="shared" si="4"/>
        <v>7</v>
      </c>
      <c r="C57" s="243"/>
      <c r="D57" s="242" t="s">
        <v>324</v>
      </c>
      <c r="E57" s="243"/>
      <c r="F57" s="243"/>
      <c r="G57" s="244">
        <f>(3.7*2)*(0.25*0.35)</f>
        <v>0.64749999999999996</v>
      </c>
      <c r="H57" s="245" t="s">
        <v>28</v>
      </c>
      <c r="I57" s="386">
        <v>0</v>
      </c>
      <c r="J57" s="246">
        <f t="shared" ref="J57:J66" si="5">I57*G57</f>
        <v>0</v>
      </c>
    </row>
    <row r="58" spans="2:13" ht="15" customHeight="1" x14ac:dyDescent="0.2">
      <c r="B58" s="340">
        <f t="shared" si="4"/>
        <v>8</v>
      </c>
      <c r="C58" s="243"/>
      <c r="D58" s="242" t="s">
        <v>215</v>
      </c>
      <c r="E58" s="243"/>
      <c r="F58" s="243"/>
      <c r="G58" s="244">
        <f>(185.11)*0.12</f>
        <v>22.213200000000001</v>
      </c>
      <c r="H58" s="245" t="s">
        <v>28</v>
      </c>
      <c r="I58" s="386">
        <v>0</v>
      </c>
      <c r="J58" s="246">
        <f t="shared" si="5"/>
        <v>0</v>
      </c>
    </row>
    <row r="59" spans="2:13" ht="15" customHeight="1" x14ac:dyDescent="0.2">
      <c r="B59" s="340">
        <f t="shared" si="4"/>
        <v>9</v>
      </c>
      <c r="C59" s="243"/>
      <c r="D59" s="242" t="s">
        <v>175</v>
      </c>
      <c r="E59" s="243"/>
      <c r="F59" s="243"/>
      <c r="G59" s="244">
        <f>3.5*12</f>
        <v>42</v>
      </c>
      <c r="H59" s="245" t="s">
        <v>19</v>
      </c>
      <c r="I59" s="386">
        <v>0</v>
      </c>
      <c r="J59" s="246">
        <f t="shared" si="5"/>
        <v>0</v>
      </c>
    </row>
    <row r="60" spans="2:13" ht="15" customHeight="1" x14ac:dyDescent="0.2">
      <c r="B60" s="340">
        <f t="shared" si="4"/>
        <v>10</v>
      </c>
      <c r="C60" s="243"/>
      <c r="D60" s="242" t="s">
        <v>372</v>
      </c>
      <c r="E60" s="243"/>
      <c r="F60" s="243"/>
      <c r="G60" s="244">
        <f>+(0.25*0.45)*(224.88+1.2)</f>
        <v>25.433999999999997</v>
      </c>
      <c r="H60" s="245" t="s">
        <v>28</v>
      </c>
      <c r="I60" s="386">
        <v>0</v>
      </c>
      <c r="J60" s="246">
        <f t="shared" si="5"/>
        <v>0</v>
      </c>
    </row>
    <row r="61" spans="2:13" ht="15" customHeight="1" x14ac:dyDescent="0.2">
      <c r="B61" s="340">
        <f t="shared" si="4"/>
        <v>11</v>
      </c>
      <c r="C61" s="243"/>
      <c r="D61" s="242" t="s">
        <v>438</v>
      </c>
      <c r="E61" s="243"/>
      <c r="F61" s="243"/>
      <c r="G61" s="244">
        <f>(0.35*0.2)*(27.1+4.9)</f>
        <v>2.2399999999999998</v>
      </c>
      <c r="H61" s="245" t="s">
        <v>28</v>
      </c>
      <c r="I61" s="386">
        <v>0</v>
      </c>
      <c r="J61" s="246">
        <f t="shared" si="5"/>
        <v>0</v>
      </c>
      <c r="M61" s="105">
        <f>10.75+15.52+15.52+15.52+4.75+4.75+4.75+4.75+4.75+4.15+17.3+25+12.6+12.6+14.32+10.76+2.67+3.58+3+3.58+3.58+3.58+1.8+6+2.7+2.7+2.57+5.23</f>
        <v>218.78</v>
      </c>
    </row>
    <row r="62" spans="2:13" ht="15" customHeight="1" x14ac:dyDescent="0.2">
      <c r="B62" s="340">
        <f t="shared" si="4"/>
        <v>12</v>
      </c>
      <c r="C62" s="243"/>
      <c r="D62" s="242" t="s">
        <v>436</v>
      </c>
      <c r="E62" s="243"/>
      <c r="F62" s="243"/>
      <c r="G62" s="244">
        <f>+(0.14*0.5)*29.1</f>
        <v>2.0370000000000004</v>
      </c>
      <c r="H62" s="245" t="s">
        <v>28</v>
      </c>
      <c r="I62" s="386">
        <v>0</v>
      </c>
      <c r="J62" s="246">
        <f t="shared" si="5"/>
        <v>0</v>
      </c>
      <c r="M62" s="105">
        <f>+M61+5</f>
        <v>223.78</v>
      </c>
    </row>
    <row r="63" spans="2:13" ht="15" customHeight="1" x14ac:dyDescent="0.2">
      <c r="B63" s="340">
        <f t="shared" si="4"/>
        <v>13</v>
      </c>
      <c r="C63" s="243"/>
      <c r="D63" s="242" t="s">
        <v>325</v>
      </c>
      <c r="E63" s="243"/>
      <c r="F63" s="243"/>
      <c r="G63" s="244">
        <f>+(0.1*0.15)*75.4</f>
        <v>1.131</v>
      </c>
      <c r="H63" s="245" t="s">
        <v>28</v>
      </c>
      <c r="I63" s="386">
        <v>0</v>
      </c>
      <c r="J63" s="246">
        <f t="shared" si="5"/>
        <v>0</v>
      </c>
    </row>
    <row r="64" spans="2:13" ht="15" customHeight="1" x14ac:dyDescent="0.2">
      <c r="B64" s="340">
        <f t="shared" si="4"/>
        <v>14</v>
      </c>
      <c r="C64" s="243"/>
      <c r="D64" s="242" t="s">
        <v>323</v>
      </c>
      <c r="E64" s="243"/>
      <c r="F64" s="243"/>
      <c r="G64" s="244">
        <f>0.45*4.6</f>
        <v>2.0699999999999998</v>
      </c>
      <c r="H64" s="245" t="s">
        <v>28</v>
      </c>
      <c r="I64" s="386">
        <v>0</v>
      </c>
      <c r="J64" s="246">
        <f t="shared" si="5"/>
        <v>0</v>
      </c>
    </row>
    <row r="65" spans="2:13" ht="15" customHeight="1" x14ac:dyDescent="0.2">
      <c r="B65" s="340">
        <f t="shared" si="4"/>
        <v>15</v>
      </c>
      <c r="C65" s="243"/>
      <c r="D65" s="242" t="s">
        <v>329</v>
      </c>
      <c r="E65" s="243"/>
      <c r="F65" s="243"/>
      <c r="G65" s="244">
        <f>20.93*2</f>
        <v>41.86</v>
      </c>
      <c r="H65" s="245" t="s">
        <v>26</v>
      </c>
      <c r="I65" s="386">
        <v>0</v>
      </c>
      <c r="J65" s="246">
        <f t="shared" si="5"/>
        <v>0</v>
      </c>
      <c r="L65" s="459"/>
      <c r="M65" s="404">
        <f>SUM(J51:J64)</f>
        <v>0</v>
      </c>
    </row>
    <row r="66" spans="2:13" ht="15" customHeight="1" x14ac:dyDescent="0.2">
      <c r="B66" s="340">
        <f t="shared" si="4"/>
        <v>16</v>
      </c>
      <c r="C66" s="243"/>
      <c r="D66" s="242" t="s">
        <v>330</v>
      </c>
      <c r="E66" s="243"/>
      <c r="F66" s="243"/>
      <c r="G66" s="244">
        <f>+G65</f>
        <v>41.86</v>
      </c>
      <c r="H66" s="245" t="s">
        <v>26</v>
      </c>
      <c r="I66" s="386">
        <v>0</v>
      </c>
      <c r="J66" s="246">
        <f t="shared" si="5"/>
        <v>0</v>
      </c>
      <c r="L66" s="459"/>
      <c r="M66" s="404"/>
    </row>
    <row r="67" spans="2:13" ht="15" customHeight="1" thickBot="1" x14ac:dyDescent="0.25">
      <c r="B67" s="341"/>
      <c r="C67" s="293"/>
      <c r="D67" s="292"/>
      <c r="E67" s="293"/>
      <c r="F67" s="293"/>
      <c r="G67" s="294"/>
      <c r="H67" s="295"/>
      <c r="I67" s="296"/>
      <c r="J67" s="297"/>
      <c r="L67" s="459"/>
      <c r="M67" s="404"/>
    </row>
    <row r="68" spans="2:13" ht="15" customHeight="1" thickBot="1" x14ac:dyDescent="0.25">
      <c r="B68" s="495"/>
      <c r="C68" s="496"/>
      <c r="D68" s="496"/>
      <c r="E68" s="496"/>
      <c r="F68" s="496"/>
      <c r="G68" s="496"/>
      <c r="H68" s="496"/>
      <c r="I68" s="342" t="s">
        <v>165</v>
      </c>
      <c r="J68" s="343">
        <f>SUM(J51:J67)</f>
        <v>0</v>
      </c>
    </row>
    <row r="69" spans="2:13" ht="15" customHeight="1" x14ac:dyDescent="0.2">
      <c r="B69" s="111"/>
      <c r="C69" s="108"/>
      <c r="D69" s="110"/>
      <c r="E69" s="108"/>
      <c r="F69" s="108"/>
      <c r="G69" s="298"/>
      <c r="H69" s="299"/>
      <c r="I69" s="300"/>
      <c r="J69" s="301"/>
      <c r="L69" s="459">
        <f>+L49+J68</f>
        <v>0</v>
      </c>
    </row>
    <row r="70" spans="2:13" ht="15" customHeight="1" x14ac:dyDescent="0.2">
      <c r="B70" s="111"/>
      <c r="C70" s="108"/>
      <c r="D70" s="110"/>
      <c r="E70" s="108"/>
      <c r="F70" s="108"/>
      <c r="G70" s="298"/>
      <c r="H70" s="299"/>
      <c r="I70" s="300"/>
      <c r="J70" s="301"/>
    </row>
    <row r="71" spans="2:13" ht="15" customHeight="1" x14ac:dyDescent="0.2">
      <c r="B71" s="111"/>
      <c r="C71" s="108"/>
      <c r="D71" s="110"/>
      <c r="E71" s="108"/>
      <c r="F71" s="108"/>
      <c r="G71" s="298"/>
      <c r="H71" s="299"/>
      <c r="I71" s="300"/>
      <c r="J71" s="301"/>
    </row>
    <row r="72" spans="2:13" ht="15" customHeight="1" x14ac:dyDescent="0.2">
      <c r="B72" s="111"/>
      <c r="C72" s="108"/>
      <c r="D72" s="110"/>
      <c r="E72" s="108"/>
      <c r="F72" s="108"/>
      <c r="G72" s="298"/>
      <c r="H72" s="299"/>
      <c r="I72" s="300"/>
      <c r="J72" s="301"/>
      <c r="M72" s="105">
        <f>15.2+15.2+14.3+20.1+6+1.2+1.8+3.2+3+3.7+2.5+4.7+4.7+4.7+9.78+3+5.28</f>
        <v>118.36000000000003</v>
      </c>
    </row>
    <row r="73" spans="2:13" ht="15" customHeight="1" x14ac:dyDescent="0.2">
      <c r="B73" s="111"/>
      <c r="C73" s="108"/>
      <c r="D73" s="110"/>
      <c r="E73" s="108"/>
      <c r="F73" s="108"/>
      <c r="G73" s="298"/>
      <c r="H73" s="299"/>
      <c r="I73" s="300"/>
      <c r="J73" s="301"/>
      <c r="L73" s="112">
        <f>4.75*4</f>
        <v>19</v>
      </c>
    </row>
    <row r="74" spans="2:13" ht="15" customHeight="1" x14ac:dyDescent="0.2">
      <c r="B74" s="111"/>
      <c r="C74" s="108"/>
      <c r="D74" s="110"/>
      <c r="E74" s="108"/>
      <c r="F74" s="108"/>
      <c r="G74" s="298"/>
      <c r="H74" s="299"/>
      <c r="I74" s="300"/>
      <c r="J74" s="301"/>
      <c r="L74" s="112">
        <v>4.0999999999999996</v>
      </c>
    </row>
    <row r="75" spans="2:13" ht="15" customHeight="1" x14ac:dyDescent="0.2">
      <c r="B75" s="111"/>
      <c r="C75" s="108"/>
      <c r="D75" s="110"/>
      <c r="E75" s="108"/>
      <c r="F75" s="108"/>
      <c r="G75" s="298"/>
      <c r="H75" s="299"/>
      <c r="I75" s="300"/>
      <c r="J75" s="301"/>
      <c r="L75" s="112">
        <f>SUM(L73:L74)</f>
        <v>23.1</v>
      </c>
    </row>
    <row r="76" spans="2:13" ht="15" customHeight="1" x14ac:dyDescent="0.2">
      <c r="B76" s="111"/>
      <c r="C76" s="108"/>
      <c r="D76" s="110"/>
      <c r="E76" s="108"/>
      <c r="F76" s="108"/>
      <c r="G76" s="298"/>
      <c r="H76" s="299"/>
      <c r="I76" s="300"/>
      <c r="J76" s="301"/>
    </row>
    <row r="77" spans="2:13" ht="15" customHeight="1" x14ac:dyDescent="0.2">
      <c r="B77" s="111"/>
      <c r="C77" s="108"/>
      <c r="D77" s="110"/>
      <c r="E77" s="108"/>
      <c r="F77" s="108"/>
      <c r="G77" s="298"/>
      <c r="H77" s="299"/>
      <c r="I77" s="300"/>
      <c r="J77" s="301"/>
      <c r="L77" s="405">
        <f>SUM(J81:J83)</f>
        <v>0</v>
      </c>
    </row>
    <row r="78" spans="2:13" ht="15" customHeight="1" x14ac:dyDescent="0.2">
      <c r="B78" s="111"/>
      <c r="C78" s="108"/>
      <c r="D78" s="110"/>
      <c r="E78" s="108"/>
      <c r="F78" s="108"/>
      <c r="G78" s="298"/>
      <c r="H78" s="299"/>
      <c r="I78" s="300"/>
      <c r="J78" s="301"/>
      <c r="L78" s="405">
        <f>SUM(J52:J54)</f>
        <v>0</v>
      </c>
    </row>
    <row r="79" spans="2:13" ht="15" customHeight="1" x14ac:dyDescent="0.2">
      <c r="B79" s="111"/>
      <c r="C79" s="108"/>
      <c r="D79" s="110"/>
      <c r="E79" s="108"/>
      <c r="F79" s="108"/>
      <c r="G79" s="298"/>
      <c r="H79" s="299"/>
      <c r="I79" s="300"/>
      <c r="J79" s="301"/>
      <c r="L79" s="459">
        <f>+L78+L77</f>
        <v>0</v>
      </c>
    </row>
    <row r="80" spans="2:13" ht="15" customHeight="1" x14ac:dyDescent="0.2">
      <c r="B80" s="344"/>
      <c r="C80" s="345"/>
      <c r="D80" s="346" t="s">
        <v>263</v>
      </c>
      <c r="E80" s="347"/>
      <c r="F80" s="347"/>
      <c r="G80" s="407"/>
      <c r="H80" s="348"/>
      <c r="I80" s="349"/>
      <c r="J80" s="350"/>
      <c r="L80" s="112">
        <f>381.9-206.49</f>
        <v>175.40999999999997</v>
      </c>
    </row>
    <row r="81" spans="1:13" ht="15" customHeight="1" x14ac:dyDescent="0.2">
      <c r="B81" s="340">
        <v>1</v>
      </c>
      <c r="C81" s="243"/>
      <c r="D81" s="242" t="s">
        <v>435</v>
      </c>
      <c r="E81" s="243"/>
      <c r="F81" s="243"/>
      <c r="G81" s="244">
        <f>+(0.4*0.2*3.5)*10</f>
        <v>2.8000000000000003</v>
      </c>
      <c r="H81" s="245" t="s">
        <v>28</v>
      </c>
      <c r="I81" s="386">
        <v>0</v>
      </c>
      <c r="J81" s="246">
        <f t="shared" ref="J81:J89" si="6">I81*G81</f>
        <v>0</v>
      </c>
      <c r="L81" s="459"/>
      <c r="M81" s="405">
        <f>SUM(J81:J89)</f>
        <v>0</v>
      </c>
    </row>
    <row r="82" spans="1:13" ht="15" customHeight="1" x14ac:dyDescent="0.2">
      <c r="B82" s="340">
        <f>+B81+1</f>
        <v>2</v>
      </c>
      <c r="C82" s="243"/>
      <c r="D82" s="242" t="s">
        <v>314</v>
      </c>
      <c r="E82" s="243"/>
      <c r="F82" s="243"/>
      <c r="G82" s="244">
        <f>+(0.25*0.25*3.5)*9</f>
        <v>1.96875</v>
      </c>
      <c r="H82" s="245" t="s">
        <v>28</v>
      </c>
      <c r="I82" s="386">
        <v>0</v>
      </c>
      <c r="J82" s="246">
        <f t="shared" si="6"/>
        <v>0</v>
      </c>
      <c r="L82" s="459"/>
      <c r="M82" s="405"/>
    </row>
    <row r="83" spans="1:13" ht="15" customHeight="1" x14ac:dyDescent="0.2">
      <c r="B83" s="340">
        <f>+B82+1</f>
        <v>3</v>
      </c>
      <c r="C83" s="243"/>
      <c r="D83" s="242" t="s">
        <v>371</v>
      </c>
      <c r="E83" s="243"/>
      <c r="F83" s="243"/>
      <c r="G83" s="244">
        <f>(0.3*0.2*3.5)*10</f>
        <v>2.1</v>
      </c>
      <c r="H83" s="245" t="s">
        <v>28</v>
      </c>
      <c r="I83" s="386">
        <v>0</v>
      </c>
      <c r="J83" s="246">
        <f t="shared" si="6"/>
        <v>0</v>
      </c>
      <c r="L83" s="459" t="e">
        <f>+#REF!+#REF!</f>
        <v>#REF!</v>
      </c>
      <c r="M83" s="105">
        <f>96.97+5.28</f>
        <v>102.25</v>
      </c>
    </row>
    <row r="84" spans="1:13" ht="15" customHeight="1" x14ac:dyDescent="0.2">
      <c r="B84" s="340">
        <f>+B83+1</f>
        <v>4</v>
      </c>
      <c r="C84" s="243"/>
      <c r="D84" s="242" t="s">
        <v>372</v>
      </c>
      <c r="E84" s="243"/>
      <c r="F84" s="243"/>
      <c r="G84" s="244">
        <f>+(0.25*0.45)*224.88</f>
        <v>25.298999999999999</v>
      </c>
      <c r="H84" s="245" t="s">
        <v>28</v>
      </c>
      <c r="I84" s="386">
        <v>0</v>
      </c>
      <c r="J84" s="246">
        <f>I84*G84</f>
        <v>0</v>
      </c>
    </row>
    <row r="85" spans="1:13" ht="15" customHeight="1" x14ac:dyDescent="0.2">
      <c r="B85" s="340">
        <f>+B84+1</f>
        <v>5</v>
      </c>
      <c r="C85" s="243"/>
      <c r="D85" s="242" t="s">
        <v>438</v>
      </c>
      <c r="E85" s="243"/>
      <c r="F85" s="243"/>
      <c r="G85" s="244">
        <f>(0.3*0.25)*81.7</f>
        <v>6.1275000000000004</v>
      </c>
      <c r="H85" s="245" t="s">
        <v>28</v>
      </c>
      <c r="I85" s="386">
        <v>0</v>
      </c>
      <c r="J85" s="246">
        <f>I85*G85</f>
        <v>0</v>
      </c>
      <c r="M85" s="105">
        <f>3.55*2.8</f>
        <v>9.94</v>
      </c>
    </row>
    <row r="86" spans="1:13" ht="15" customHeight="1" x14ac:dyDescent="0.2">
      <c r="B86" s="340">
        <f>+B84+1</f>
        <v>5</v>
      </c>
      <c r="C86" s="243"/>
      <c r="D86" s="242" t="s">
        <v>215</v>
      </c>
      <c r="E86" s="243"/>
      <c r="F86" s="243"/>
      <c r="G86" s="244">
        <f>408.97*0.12</f>
        <v>49.0764</v>
      </c>
      <c r="H86" s="245" t="s">
        <v>28</v>
      </c>
      <c r="I86" s="386">
        <v>0</v>
      </c>
      <c r="J86" s="246">
        <f>I86*G86</f>
        <v>0</v>
      </c>
      <c r="L86" s="112">
        <f>102.25-3.5</f>
        <v>98.75</v>
      </c>
      <c r="M86" s="105">
        <f>3.45*2.8*2</f>
        <v>19.32</v>
      </c>
    </row>
    <row r="87" spans="1:13" ht="15" customHeight="1" x14ac:dyDescent="0.2">
      <c r="A87" s="395"/>
      <c r="B87" s="340">
        <f>+B83+1</f>
        <v>4</v>
      </c>
      <c r="C87" s="243"/>
      <c r="D87" s="242" t="s">
        <v>175</v>
      </c>
      <c r="E87" s="243"/>
      <c r="F87" s="243"/>
      <c r="G87" s="244">
        <f>13*3.5</f>
        <v>45.5</v>
      </c>
      <c r="H87" s="245" t="s">
        <v>19</v>
      </c>
      <c r="I87" s="386">
        <v>0</v>
      </c>
      <c r="J87" s="246">
        <f t="shared" si="6"/>
        <v>0</v>
      </c>
      <c r="M87" s="105">
        <f>0.9*2.1*9</f>
        <v>17.010000000000002</v>
      </c>
    </row>
    <row r="88" spans="1:13" ht="15" customHeight="1" x14ac:dyDescent="0.2">
      <c r="A88" s="395"/>
      <c r="B88" s="340">
        <f>+B87+1</f>
        <v>5</v>
      </c>
      <c r="C88" s="243"/>
      <c r="D88" s="242" t="s">
        <v>366</v>
      </c>
      <c r="E88" s="243"/>
      <c r="F88" s="243"/>
      <c r="G88" s="244">
        <f>+(0.1*0.5)*86.7</f>
        <v>4.335</v>
      </c>
      <c r="H88" s="245" t="s">
        <v>28</v>
      </c>
      <c r="I88" s="386">
        <v>0</v>
      </c>
      <c r="J88" s="246">
        <f t="shared" si="6"/>
        <v>0</v>
      </c>
      <c r="M88" s="105">
        <f>0.95*1.6</f>
        <v>1.52</v>
      </c>
    </row>
    <row r="89" spans="1:13" ht="15" customHeight="1" x14ac:dyDescent="0.2">
      <c r="A89" s="403"/>
      <c r="B89" s="340">
        <f>+B88+1</f>
        <v>6</v>
      </c>
      <c r="C89" s="243"/>
      <c r="D89" s="242" t="s">
        <v>325</v>
      </c>
      <c r="E89" s="243"/>
      <c r="F89" s="243"/>
      <c r="G89" s="244">
        <f>+(0.1*0.15)*81.3</f>
        <v>1.2194999999999998</v>
      </c>
      <c r="H89" s="245" t="s">
        <v>28</v>
      </c>
      <c r="I89" s="386">
        <v>0</v>
      </c>
      <c r="J89" s="246">
        <f t="shared" si="6"/>
        <v>0</v>
      </c>
      <c r="L89" s="459"/>
      <c r="M89" s="105">
        <f>4.6*2.8</f>
        <v>12.879999999999999</v>
      </c>
    </row>
    <row r="90" spans="1:13" ht="15" customHeight="1" thickBot="1" x14ac:dyDescent="0.25">
      <c r="A90" s="403"/>
      <c r="B90" s="340"/>
      <c r="C90" s="243"/>
      <c r="D90" s="242"/>
      <c r="E90" s="243"/>
      <c r="F90" s="243"/>
      <c r="G90" s="244"/>
      <c r="H90" s="245"/>
      <c r="I90" s="240"/>
      <c r="J90" s="246"/>
      <c r="L90" s="459"/>
      <c r="M90" s="105">
        <f>0.4*0.6</f>
        <v>0.24</v>
      </c>
    </row>
    <row r="91" spans="1:13" ht="15" customHeight="1" thickBot="1" x14ac:dyDescent="0.25">
      <c r="A91" s="403"/>
      <c r="B91" s="495"/>
      <c r="C91" s="496"/>
      <c r="D91" s="496"/>
      <c r="E91" s="496"/>
      <c r="F91" s="496"/>
      <c r="G91" s="496"/>
      <c r="H91" s="496"/>
      <c r="I91" s="342" t="s">
        <v>165</v>
      </c>
      <c r="J91" s="343">
        <f>SUM(J81:J90)</f>
        <v>0</v>
      </c>
      <c r="L91" s="459" t="e">
        <f>+L83+J99</f>
        <v>#REF!</v>
      </c>
      <c r="M91" s="404">
        <f>3.11*4.8</f>
        <v>14.927999999999999</v>
      </c>
    </row>
    <row r="92" spans="1:13" ht="15" customHeight="1" x14ac:dyDescent="0.2">
      <c r="A92" s="403"/>
      <c r="B92" s="397" t="s">
        <v>169</v>
      </c>
      <c r="C92" s="398"/>
      <c r="D92" s="399" t="s">
        <v>44</v>
      </c>
      <c r="E92" s="109"/>
      <c r="F92" s="109"/>
      <c r="G92" s="406"/>
      <c r="H92" s="400"/>
      <c r="I92" s="401"/>
      <c r="J92" s="389"/>
      <c r="M92" s="105">
        <f>1.45*2.8*2</f>
        <v>8.1199999999999992</v>
      </c>
    </row>
    <row r="93" spans="1:13" ht="15" customHeight="1" x14ac:dyDescent="0.2">
      <c r="B93" s="340"/>
      <c r="C93" s="243"/>
      <c r="D93" s="282" t="s">
        <v>262</v>
      </c>
      <c r="E93" s="243"/>
      <c r="F93" s="243"/>
      <c r="G93" s="244"/>
      <c r="H93" s="245"/>
      <c r="I93" s="240"/>
      <c r="J93" s="246"/>
      <c r="M93" s="105">
        <f>2*2.4</f>
        <v>4.8</v>
      </c>
    </row>
    <row r="94" spans="1:13" ht="15" customHeight="1" x14ac:dyDescent="0.2">
      <c r="B94" s="340">
        <v>1</v>
      </c>
      <c r="C94" s="243"/>
      <c r="D94" s="242" t="s">
        <v>167</v>
      </c>
      <c r="E94" s="243"/>
      <c r="F94" s="243"/>
      <c r="G94" s="244">
        <f>+((100.75)*3.5)-M95</f>
        <v>262.86699999999996</v>
      </c>
      <c r="H94" s="245" t="s">
        <v>26</v>
      </c>
      <c r="I94" s="386">
        <v>0</v>
      </c>
      <c r="J94" s="246">
        <f>I94*G94</f>
        <v>0</v>
      </c>
      <c r="M94" s="105">
        <f>0.5*2</f>
        <v>1</v>
      </c>
    </row>
    <row r="95" spans="1:13" ht="15" customHeight="1" x14ac:dyDescent="0.2">
      <c r="A95" s="395"/>
      <c r="B95" s="340">
        <v>2</v>
      </c>
      <c r="C95" s="243"/>
      <c r="D95" s="242" t="s">
        <v>168</v>
      </c>
      <c r="E95" s="243"/>
      <c r="F95" s="243"/>
      <c r="G95" s="244">
        <f>G94*2</f>
        <v>525.73399999999992</v>
      </c>
      <c r="H95" s="245" t="s">
        <v>26</v>
      </c>
      <c r="I95" s="386">
        <v>0</v>
      </c>
      <c r="J95" s="246">
        <f>I95*G95</f>
        <v>0</v>
      </c>
      <c r="M95" s="105">
        <f>SUM(M85:M94)</f>
        <v>89.75800000000001</v>
      </c>
    </row>
    <row r="96" spans="1:13" ht="15" customHeight="1" x14ac:dyDescent="0.2">
      <c r="A96" s="395"/>
      <c r="B96" s="340">
        <f>B95+1</f>
        <v>3</v>
      </c>
      <c r="C96" s="243"/>
      <c r="D96" s="242" t="s">
        <v>247</v>
      </c>
      <c r="E96" s="243"/>
      <c r="F96" s="243"/>
      <c r="G96" s="244">
        <f>+G95</f>
        <v>525.73399999999992</v>
      </c>
      <c r="H96" s="245" t="s">
        <v>26</v>
      </c>
      <c r="I96" s="386">
        <v>0</v>
      </c>
      <c r="J96" s="246">
        <f>I96*G96</f>
        <v>0</v>
      </c>
    </row>
    <row r="97" spans="1:14" ht="15" customHeight="1" x14ac:dyDescent="0.2">
      <c r="A97" s="403"/>
      <c r="B97" s="340"/>
      <c r="C97" s="243"/>
      <c r="D97" s="242"/>
      <c r="E97" s="243"/>
      <c r="F97" s="243"/>
      <c r="G97" s="244"/>
      <c r="H97" s="245"/>
      <c r="I97" s="240"/>
      <c r="J97" s="246"/>
      <c r="N97" s="105">
        <f>3.58*2.8</f>
        <v>10.023999999999999</v>
      </c>
    </row>
    <row r="98" spans="1:14" ht="15" customHeight="1" thickBot="1" x14ac:dyDescent="0.25">
      <c r="A98" s="403"/>
      <c r="B98" s="340"/>
      <c r="C98" s="243"/>
      <c r="D98" s="242"/>
      <c r="E98" s="243"/>
      <c r="F98" s="243"/>
      <c r="G98" s="244"/>
      <c r="H98" s="245"/>
      <c r="I98" s="240"/>
      <c r="J98" s="246"/>
      <c r="N98" s="105">
        <f>3.38*2.8</f>
        <v>9.4639999999999986</v>
      </c>
    </row>
    <row r="99" spans="1:14" ht="15" customHeight="1" thickBot="1" x14ac:dyDescent="0.25">
      <c r="B99" s="495"/>
      <c r="C99" s="496"/>
      <c r="D99" s="496"/>
      <c r="E99" s="496"/>
      <c r="F99" s="496"/>
      <c r="G99" s="496"/>
      <c r="H99" s="496"/>
      <c r="I99" s="342" t="s">
        <v>165</v>
      </c>
      <c r="J99" s="343">
        <f>SUM(J94:J98)</f>
        <v>0</v>
      </c>
      <c r="L99" s="459" t="e">
        <f>+L91+J106</f>
        <v>#REF!</v>
      </c>
      <c r="N99" s="105">
        <f>2.89*2.8</f>
        <v>8.0920000000000005</v>
      </c>
    </row>
    <row r="100" spans="1:14" ht="15" customHeight="1" x14ac:dyDescent="0.2">
      <c r="A100" s="395"/>
      <c r="B100" s="340"/>
      <c r="C100" s="243"/>
      <c r="D100" s="282" t="s">
        <v>261</v>
      </c>
      <c r="E100" s="243"/>
      <c r="F100" s="243"/>
      <c r="G100" s="244"/>
      <c r="H100" s="245"/>
      <c r="I100" s="240"/>
      <c r="J100" s="246"/>
      <c r="K100" s="105"/>
      <c r="L100" s="105"/>
      <c r="N100" s="105">
        <f>3.7*2.8</f>
        <v>10.36</v>
      </c>
    </row>
    <row r="101" spans="1:14" ht="15" customHeight="1" x14ac:dyDescent="0.2">
      <c r="A101" s="403"/>
      <c r="B101" s="340">
        <v>1</v>
      </c>
      <c r="C101" s="243"/>
      <c r="D101" s="242" t="s">
        <v>167</v>
      </c>
      <c r="E101" s="243"/>
      <c r="F101" s="243"/>
      <c r="G101" s="244">
        <f>+((119.4+13.5)*3.5)-N109</f>
        <v>362.82000000000005</v>
      </c>
      <c r="H101" s="245" t="s">
        <v>26</v>
      </c>
      <c r="I101" s="386">
        <v>0</v>
      </c>
      <c r="J101" s="246">
        <f>I101*G101</f>
        <v>0</v>
      </c>
      <c r="K101" s="105"/>
      <c r="L101" s="105"/>
      <c r="N101" s="105">
        <f>4.88*2.8</f>
        <v>13.664</v>
      </c>
    </row>
    <row r="102" spans="1:14" ht="15" customHeight="1" x14ac:dyDescent="0.2">
      <c r="A102" s="403"/>
      <c r="B102" s="340">
        <f>B101+1</f>
        <v>2</v>
      </c>
      <c r="C102" s="243"/>
      <c r="D102" s="242" t="s">
        <v>168</v>
      </c>
      <c r="E102" s="243"/>
      <c r="F102" s="243"/>
      <c r="G102" s="244">
        <f>G101*2</f>
        <v>725.6400000000001</v>
      </c>
      <c r="H102" s="245" t="s">
        <v>26</v>
      </c>
      <c r="I102" s="386">
        <v>0</v>
      </c>
      <c r="J102" s="246">
        <f>I102*G102</f>
        <v>0</v>
      </c>
      <c r="K102" s="105"/>
      <c r="L102" s="105"/>
      <c r="N102" s="105">
        <f>3.3*2.8</f>
        <v>9.2399999999999984</v>
      </c>
    </row>
    <row r="103" spans="1:14" ht="15" customHeight="1" x14ac:dyDescent="0.2">
      <c r="A103" s="403"/>
      <c r="B103" s="340">
        <f>B102+1</f>
        <v>3</v>
      </c>
      <c r="C103" s="243"/>
      <c r="D103" s="242" t="s">
        <v>247</v>
      </c>
      <c r="E103" s="243"/>
      <c r="F103" s="243"/>
      <c r="G103" s="244">
        <f>+G102</f>
        <v>725.6400000000001</v>
      </c>
      <c r="H103" s="245" t="s">
        <v>26</v>
      </c>
      <c r="I103" s="386">
        <v>0</v>
      </c>
      <c r="J103" s="246">
        <f>I103*G103</f>
        <v>0</v>
      </c>
      <c r="K103" s="105"/>
      <c r="L103" s="105"/>
      <c r="N103" s="105">
        <f>3.3*2.8</f>
        <v>9.2399999999999984</v>
      </c>
    </row>
    <row r="104" spans="1:14" ht="15" customHeight="1" x14ac:dyDescent="0.2">
      <c r="A104" s="403"/>
      <c r="B104" s="340"/>
      <c r="C104" s="243"/>
      <c r="D104" s="242"/>
      <c r="E104" s="243"/>
      <c r="F104" s="243"/>
      <c r="G104" s="244"/>
      <c r="H104" s="245"/>
      <c r="I104" s="240"/>
      <c r="J104" s="246"/>
      <c r="K104" s="105"/>
      <c r="L104" s="105"/>
      <c r="N104" s="105">
        <f>2.35*0.8</f>
        <v>1.8800000000000001</v>
      </c>
    </row>
    <row r="105" spans="1:14" ht="15" customHeight="1" thickBot="1" x14ac:dyDescent="0.25">
      <c r="A105" s="403"/>
      <c r="B105" s="340"/>
      <c r="C105" s="243"/>
      <c r="D105" s="242"/>
      <c r="E105" s="243"/>
      <c r="F105" s="243"/>
      <c r="G105" s="244"/>
      <c r="H105" s="245"/>
      <c r="I105" s="240"/>
      <c r="J105" s="246"/>
      <c r="K105" s="105"/>
      <c r="L105" s="105"/>
      <c r="N105" s="105">
        <f>2.87*2.8</f>
        <v>8.0359999999999996</v>
      </c>
    </row>
    <row r="106" spans="1:14" ht="15" customHeight="1" thickBot="1" x14ac:dyDescent="0.25">
      <c r="A106" s="403"/>
      <c r="B106" s="495"/>
      <c r="C106" s="496"/>
      <c r="D106" s="496"/>
      <c r="E106" s="496"/>
      <c r="F106" s="496"/>
      <c r="G106" s="496"/>
      <c r="H106" s="497"/>
      <c r="I106" s="342" t="s">
        <v>165</v>
      </c>
      <c r="J106" s="343">
        <f>SUM(J101:J105)</f>
        <v>0</v>
      </c>
      <c r="K106" s="105"/>
      <c r="L106" s="105"/>
    </row>
    <row r="107" spans="1:14" ht="15" customHeight="1" x14ac:dyDescent="0.2">
      <c r="B107" s="344" t="s">
        <v>62</v>
      </c>
      <c r="C107" s="345"/>
      <c r="D107" s="346" t="s">
        <v>378</v>
      </c>
      <c r="E107" s="347"/>
      <c r="F107" s="347"/>
      <c r="G107" s="407"/>
      <c r="H107" s="348"/>
      <c r="I107" s="401"/>
      <c r="J107" s="389"/>
      <c r="K107" s="105"/>
      <c r="L107" s="105"/>
      <c r="N107" s="105">
        <f>4.6*2.8</f>
        <v>12.879999999999999</v>
      </c>
    </row>
    <row r="108" spans="1:14" ht="15" customHeight="1" x14ac:dyDescent="0.2">
      <c r="B108" s="340"/>
      <c r="C108" s="243"/>
      <c r="D108" s="282" t="s">
        <v>262</v>
      </c>
      <c r="E108" s="243"/>
      <c r="F108" s="243"/>
      <c r="G108" s="244"/>
      <c r="H108" s="245"/>
      <c r="I108" s="240"/>
      <c r="J108" s="246"/>
      <c r="K108" s="105"/>
      <c r="L108" s="105"/>
      <c r="N108" s="105">
        <f>2.1*0.9*5</f>
        <v>9.4500000000000011</v>
      </c>
    </row>
    <row r="109" spans="1:14" ht="15" customHeight="1" x14ac:dyDescent="0.2">
      <c r="B109" s="341">
        <v>1</v>
      </c>
      <c r="C109" s="293"/>
      <c r="D109" s="292" t="s">
        <v>388</v>
      </c>
      <c r="E109" s="293"/>
      <c r="F109" s="293"/>
      <c r="G109" s="294">
        <v>45.96</v>
      </c>
      <c r="H109" s="295" t="s">
        <v>26</v>
      </c>
      <c r="I109" s="386">
        <v>0</v>
      </c>
      <c r="J109" s="297">
        <f>I109*G109</f>
        <v>0</v>
      </c>
      <c r="K109" s="105"/>
      <c r="L109" s="105"/>
      <c r="N109" s="105">
        <f>SUM(N97:N108)</f>
        <v>102.32999999999998</v>
      </c>
    </row>
    <row r="110" spans="1:14" ht="15" customHeight="1" x14ac:dyDescent="0.2">
      <c r="B110" s="341">
        <f>+B109+1</f>
        <v>2</v>
      </c>
      <c r="C110" s="293"/>
      <c r="D110" s="292" t="s">
        <v>389</v>
      </c>
      <c r="E110" s="293"/>
      <c r="F110" s="293"/>
      <c r="G110" s="464">
        <f>216.45+7.6</f>
        <v>224.04999999999998</v>
      </c>
      <c r="H110" s="295" t="s">
        <v>26</v>
      </c>
      <c r="I110" s="386">
        <v>0</v>
      </c>
      <c r="J110" s="297">
        <f t="shared" ref="J110:J115" si="7">I110*G110</f>
        <v>0</v>
      </c>
      <c r="K110" s="105"/>
      <c r="L110" s="460" t="e">
        <f>+L99+J117</f>
        <v>#REF!</v>
      </c>
    </row>
    <row r="111" spans="1:14" ht="15" customHeight="1" x14ac:dyDescent="0.2">
      <c r="B111" s="341">
        <f t="shared" ref="B111:B115" si="8">+B110+1</f>
        <v>3</v>
      </c>
      <c r="C111" s="293"/>
      <c r="D111" s="292" t="s">
        <v>391</v>
      </c>
      <c r="E111" s="293"/>
      <c r="F111" s="293"/>
      <c r="G111" s="464">
        <f>8.32+35.13+59.72+(1.8+1.32+0.84)</f>
        <v>107.13</v>
      </c>
      <c r="H111" s="295" t="s">
        <v>26</v>
      </c>
      <c r="I111" s="386">
        <v>0</v>
      </c>
      <c r="J111" s="297">
        <f t="shared" si="7"/>
        <v>0</v>
      </c>
      <c r="K111" s="105"/>
      <c r="L111" s="460"/>
    </row>
    <row r="112" spans="1:14" ht="15" customHeight="1" x14ac:dyDescent="0.2">
      <c r="A112" s="403"/>
      <c r="B112" s="341">
        <f t="shared" si="8"/>
        <v>4</v>
      </c>
      <c r="C112" s="293"/>
      <c r="D112" s="292" t="s">
        <v>390</v>
      </c>
      <c r="E112" s="293"/>
      <c r="F112" s="293"/>
      <c r="G112" s="464">
        <v>15</v>
      </c>
      <c r="H112" s="295" t="s">
        <v>26</v>
      </c>
      <c r="I112" s="386">
        <v>0</v>
      </c>
      <c r="J112" s="297">
        <f t="shared" si="7"/>
        <v>0</v>
      </c>
      <c r="K112" s="105"/>
      <c r="L112" s="460"/>
    </row>
    <row r="113" spans="1:12" ht="15" customHeight="1" x14ac:dyDescent="0.2">
      <c r="A113" s="403"/>
      <c r="B113" s="341">
        <v>5</v>
      </c>
      <c r="C113" s="293"/>
      <c r="D113" s="292" t="s">
        <v>392</v>
      </c>
      <c r="E113" s="293"/>
      <c r="F113" s="293"/>
      <c r="G113" s="464">
        <v>163.19</v>
      </c>
      <c r="H113" s="295" t="s">
        <v>19</v>
      </c>
      <c r="I113" s="386">
        <v>0</v>
      </c>
      <c r="J113" s="297">
        <f t="shared" si="7"/>
        <v>0</v>
      </c>
      <c r="K113" s="105"/>
      <c r="L113" s="105"/>
    </row>
    <row r="114" spans="1:12" ht="15" customHeight="1" x14ac:dyDescent="0.2">
      <c r="A114" s="403"/>
      <c r="B114" s="341">
        <f t="shared" si="8"/>
        <v>6</v>
      </c>
      <c r="C114" s="293"/>
      <c r="D114" s="292" t="s">
        <v>380</v>
      </c>
      <c r="E114" s="293"/>
      <c r="F114" s="293"/>
      <c r="G114" s="464">
        <f>3.6+4.49+5.57+5.18</f>
        <v>18.84</v>
      </c>
      <c r="H114" s="295" t="s">
        <v>26</v>
      </c>
      <c r="I114" s="386">
        <v>0</v>
      </c>
      <c r="J114" s="297">
        <f t="shared" si="7"/>
        <v>0</v>
      </c>
      <c r="K114" s="105"/>
      <c r="L114" s="105"/>
    </row>
    <row r="115" spans="1:12" ht="15" customHeight="1" x14ac:dyDescent="0.2">
      <c r="A115" s="403"/>
      <c r="B115" s="341">
        <f t="shared" si="8"/>
        <v>7</v>
      </c>
      <c r="C115" s="293"/>
      <c r="D115" s="292" t="s">
        <v>422</v>
      </c>
      <c r="E115" s="293"/>
      <c r="F115" s="293"/>
      <c r="G115" s="464">
        <f>+((8.4+8.9+9.8+9.1)*2.4)-(2.1*0.8*4)</f>
        <v>80.160000000000011</v>
      </c>
      <c r="H115" s="295" t="s">
        <v>26</v>
      </c>
      <c r="I115" s="386">
        <v>0</v>
      </c>
      <c r="J115" s="297">
        <f t="shared" si="7"/>
        <v>0</v>
      </c>
      <c r="K115" s="105"/>
      <c r="L115" s="105"/>
    </row>
    <row r="116" spans="1:12" ht="15" customHeight="1" thickBot="1" x14ac:dyDescent="0.25">
      <c r="A116" s="403"/>
      <c r="B116" s="341"/>
      <c r="C116" s="293"/>
      <c r="D116" s="292"/>
      <c r="E116" s="293"/>
      <c r="F116" s="293"/>
      <c r="G116" s="294"/>
      <c r="H116" s="295"/>
      <c r="I116" s="296"/>
      <c r="J116" s="297"/>
      <c r="K116" s="105"/>
      <c r="L116" s="105"/>
    </row>
    <row r="117" spans="1:12" ht="15" customHeight="1" thickBot="1" x14ac:dyDescent="0.25">
      <c r="A117" s="403"/>
      <c r="B117" s="495"/>
      <c r="C117" s="496"/>
      <c r="D117" s="496"/>
      <c r="E117" s="496"/>
      <c r="F117" s="496"/>
      <c r="G117" s="496"/>
      <c r="H117" s="497"/>
      <c r="I117" s="342" t="s">
        <v>165</v>
      </c>
      <c r="J117" s="343">
        <f>SUM(J109:J116)</f>
        <v>0</v>
      </c>
      <c r="K117" s="105"/>
      <c r="L117" s="105"/>
    </row>
    <row r="118" spans="1:12" ht="15" customHeight="1" x14ac:dyDescent="0.2">
      <c r="A118" s="403"/>
      <c r="B118" s="408"/>
      <c r="C118" s="409"/>
      <c r="D118" s="302" t="s">
        <v>261</v>
      </c>
      <c r="E118" s="409"/>
      <c r="F118" s="409"/>
      <c r="G118" s="410"/>
      <c r="H118" s="411"/>
      <c r="I118" s="412"/>
      <c r="J118" s="350"/>
      <c r="K118" s="105"/>
      <c r="L118" s="460" t="e">
        <f>+L110+J125</f>
        <v>#REF!</v>
      </c>
    </row>
    <row r="119" spans="1:12" ht="15" customHeight="1" x14ac:dyDescent="0.2">
      <c r="A119" s="403"/>
      <c r="B119" s="341">
        <v>1</v>
      </c>
      <c r="C119" s="293"/>
      <c r="D119" s="292" t="str">
        <f>+D110</f>
        <v>Pek. Lantai Ruangan, Roman Granit 60x60 cm type Glossy. DDayton Beige GT602139CT, Interior</v>
      </c>
      <c r="E119" s="293"/>
      <c r="F119" s="293"/>
      <c r="G119" s="294">
        <v>246.58</v>
      </c>
      <c r="H119" s="295" t="s">
        <v>26</v>
      </c>
      <c r="I119" s="386">
        <v>0</v>
      </c>
      <c r="J119" s="297">
        <f>I119*G119</f>
        <v>0</v>
      </c>
      <c r="K119" s="105"/>
      <c r="L119" s="460"/>
    </row>
    <row r="120" spans="1:12" ht="15" customHeight="1" x14ac:dyDescent="0.2">
      <c r="A120" s="395"/>
      <c r="B120" s="341">
        <v>2</v>
      </c>
      <c r="C120" s="293"/>
      <c r="D120" s="292" t="str">
        <f>+D111</f>
        <v>Pek. Lantai Roman Granit 60x60 cm type Matt, Ddaytona Beige GT 632139CR, Exterior</v>
      </c>
      <c r="E120" s="293"/>
      <c r="F120" s="293"/>
      <c r="G120" s="294">
        <v>58.8</v>
      </c>
      <c r="H120" s="295" t="s">
        <v>26</v>
      </c>
      <c r="I120" s="386">
        <v>0</v>
      </c>
      <c r="J120" s="297">
        <f>I120*G120</f>
        <v>0</v>
      </c>
      <c r="K120" s="105"/>
      <c r="L120" s="105"/>
    </row>
    <row r="121" spans="1:12" ht="15" customHeight="1" x14ac:dyDescent="0.2">
      <c r="A121" s="403"/>
      <c r="B121" s="341">
        <v>3</v>
      </c>
      <c r="C121" s="293"/>
      <c r="D121" s="292" t="str">
        <f>+D113</f>
        <v>Pek. Plint Lantai Roman Granit 10x60 cm type Matt, Ddaytona Beige GT602139CT, Interior</v>
      </c>
      <c r="E121" s="293"/>
      <c r="F121" s="293"/>
      <c r="G121" s="294">
        <f>32.2+14.7+72.1+11.8+9.2+3.9+27.8</f>
        <v>171.70000000000002</v>
      </c>
      <c r="H121" s="295" t="s">
        <v>26</v>
      </c>
      <c r="I121" s="386">
        <v>0</v>
      </c>
      <c r="J121" s="297">
        <f>I121*G121</f>
        <v>0</v>
      </c>
      <c r="K121" s="105"/>
      <c r="L121" s="105"/>
    </row>
    <row r="122" spans="1:12" ht="15" customHeight="1" x14ac:dyDescent="0.2">
      <c r="A122" s="403"/>
      <c r="B122" s="341">
        <v>4</v>
      </c>
      <c r="C122" s="293"/>
      <c r="D122" s="292" t="str">
        <f>+D114</f>
        <v>Pek. Lantai Toilet, Roman Granit 60x60 cm Toilet Type Matt, Dstanford</v>
      </c>
      <c r="E122" s="293"/>
      <c r="F122" s="293"/>
      <c r="G122" s="294">
        <v>19.399999999999999</v>
      </c>
      <c r="H122" s="295" t="s">
        <v>26</v>
      </c>
      <c r="I122" s="386">
        <v>0</v>
      </c>
      <c r="J122" s="297">
        <f>I122*G122</f>
        <v>0</v>
      </c>
      <c r="K122" s="105"/>
      <c r="L122" s="460" t="e">
        <f>+L118+J129</f>
        <v>#REF!</v>
      </c>
    </row>
    <row r="123" spans="1:12" ht="15" customHeight="1" x14ac:dyDescent="0.2">
      <c r="A123" s="403"/>
      <c r="B123" s="341">
        <v>5</v>
      </c>
      <c r="C123" s="293"/>
      <c r="D123" s="292" t="str">
        <f>+D115</f>
        <v>Pek. Dinding keramik , Roman Granit 60X30 Type Glossy, Dstanford</v>
      </c>
      <c r="E123" s="293"/>
      <c r="F123" s="293"/>
      <c r="G123" s="294">
        <f>+(30.9)-(2.1*0.8*3)</f>
        <v>25.86</v>
      </c>
      <c r="H123" s="295" t="s">
        <v>26</v>
      </c>
      <c r="I123" s="386">
        <v>0</v>
      </c>
      <c r="J123" s="297">
        <f>I123*G123</f>
        <v>0</v>
      </c>
      <c r="K123" s="105"/>
      <c r="L123" s="460"/>
    </row>
    <row r="124" spans="1:12" ht="15" customHeight="1" thickBot="1" x14ac:dyDescent="0.25">
      <c r="A124" s="403"/>
      <c r="B124" s="341"/>
      <c r="C124" s="293"/>
      <c r="D124" s="292"/>
      <c r="E124" s="293"/>
      <c r="F124" s="293"/>
      <c r="G124" s="294"/>
      <c r="H124" s="295"/>
      <c r="I124" s="296"/>
      <c r="J124" s="297"/>
      <c r="K124" s="105"/>
      <c r="L124" s="460"/>
    </row>
    <row r="125" spans="1:12" ht="15" customHeight="1" thickBot="1" x14ac:dyDescent="0.25">
      <c r="A125" s="403"/>
      <c r="B125" s="495"/>
      <c r="C125" s="496"/>
      <c r="D125" s="496"/>
      <c r="E125" s="496"/>
      <c r="F125" s="496"/>
      <c r="G125" s="496"/>
      <c r="H125" s="497"/>
      <c r="I125" s="342" t="s">
        <v>165</v>
      </c>
      <c r="J125" s="343">
        <f>SUM(J119:J124)</f>
        <v>0</v>
      </c>
      <c r="K125" s="105"/>
      <c r="L125" s="460"/>
    </row>
    <row r="126" spans="1:12" ht="15" customHeight="1" x14ac:dyDescent="0.2">
      <c r="A126" s="403"/>
      <c r="B126" s="340"/>
      <c r="C126" s="243"/>
      <c r="D126" s="282" t="s">
        <v>315</v>
      </c>
      <c r="E126" s="243"/>
      <c r="F126" s="243"/>
      <c r="G126" s="244"/>
      <c r="H126" s="245"/>
      <c r="I126" s="240"/>
      <c r="J126" s="246"/>
      <c r="K126" s="105"/>
      <c r="L126" s="460"/>
    </row>
    <row r="127" spans="1:12" ht="15" customHeight="1" x14ac:dyDescent="0.2">
      <c r="A127" s="403"/>
      <c r="B127" s="341">
        <v>1</v>
      </c>
      <c r="C127" s="293"/>
      <c r="D127" s="292" t="s">
        <v>318</v>
      </c>
      <c r="E127" s="293"/>
      <c r="F127" s="293"/>
      <c r="G127" s="294">
        <v>408.97</v>
      </c>
      <c r="H127" s="295" t="s">
        <v>26</v>
      </c>
      <c r="I127" s="386">
        <v>0</v>
      </c>
      <c r="J127" s="297">
        <f>I127*G127</f>
        <v>0</v>
      </c>
      <c r="K127" s="105"/>
      <c r="L127" s="460"/>
    </row>
    <row r="128" spans="1:12" ht="15" customHeight="1" thickBot="1" x14ac:dyDescent="0.25">
      <c r="A128" s="403"/>
      <c r="B128" s="341"/>
      <c r="C128" s="293"/>
      <c r="D128" s="413"/>
      <c r="E128" s="293"/>
      <c r="F128" s="293"/>
      <c r="G128" s="294"/>
      <c r="H128" s="245"/>
      <c r="I128" s="296"/>
      <c r="J128" s="246"/>
      <c r="K128" s="105"/>
      <c r="L128" s="460"/>
    </row>
    <row r="129" spans="1:12" ht="15" customHeight="1" thickBot="1" x14ac:dyDescent="0.25">
      <c r="A129" s="403"/>
      <c r="B129" s="498"/>
      <c r="C129" s="499"/>
      <c r="D129" s="499"/>
      <c r="E129" s="499"/>
      <c r="F129" s="499"/>
      <c r="G129" s="499"/>
      <c r="H129" s="499"/>
      <c r="I129" s="414" t="s">
        <v>165</v>
      </c>
      <c r="J129" s="415">
        <f>SUM(J127:J128)</f>
        <v>0</v>
      </c>
      <c r="K129" s="105"/>
      <c r="L129" s="460"/>
    </row>
    <row r="130" spans="1:12" ht="15" customHeight="1" x14ac:dyDescent="0.2">
      <c r="A130" s="403"/>
      <c r="B130" s="416"/>
      <c r="C130" s="416"/>
      <c r="D130" s="416"/>
      <c r="E130" s="416"/>
      <c r="F130" s="416"/>
      <c r="G130" s="416"/>
      <c r="H130" s="416"/>
      <c r="I130" s="352"/>
      <c r="J130" s="417"/>
      <c r="K130" s="105"/>
      <c r="L130" s="460"/>
    </row>
    <row r="131" spans="1:12" ht="15" customHeight="1" x14ac:dyDescent="0.2">
      <c r="A131" s="403"/>
      <c r="B131" s="111"/>
      <c r="C131" s="111"/>
      <c r="D131" s="111"/>
      <c r="E131" s="111"/>
      <c r="F131" s="111"/>
      <c r="G131" s="111"/>
      <c r="H131" s="111"/>
      <c r="I131" s="106"/>
      <c r="J131" s="418"/>
      <c r="K131" s="105"/>
      <c r="L131" s="460"/>
    </row>
    <row r="132" spans="1:12" ht="15" customHeight="1" x14ac:dyDescent="0.2">
      <c r="A132" s="403"/>
      <c r="B132" s="111"/>
      <c r="C132" s="111"/>
      <c r="D132" s="111"/>
      <c r="E132" s="111"/>
      <c r="F132" s="111"/>
      <c r="G132" s="111"/>
      <c r="H132" s="111"/>
      <c r="I132" s="106"/>
      <c r="J132" s="418"/>
      <c r="K132" s="105"/>
      <c r="L132" s="460"/>
    </row>
    <row r="133" spans="1:12" ht="15" customHeight="1" x14ac:dyDescent="0.2">
      <c r="A133" s="403"/>
      <c r="B133" s="111"/>
      <c r="C133" s="111"/>
      <c r="D133" s="111"/>
      <c r="E133" s="111"/>
      <c r="F133" s="111"/>
      <c r="G133" s="111"/>
      <c r="H133" s="111"/>
      <c r="I133" s="106"/>
      <c r="J133" s="418"/>
      <c r="K133" s="105"/>
      <c r="L133" s="460"/>
    </row>
    <row r="134" spans="1:12" ht="15" customHeight="1" x14ac:dyDescent="0.2">
      <c r="A134" s="403"/>
      <c r="B134" s="111"/>
      <c r="C134" s="111"/>
      <c r="D134" s="111"/>
      <c r="E134" s="111"/>
      <c r="F134" s="111"/>
      <c r="G134" s="111"/>
      <c r="H134" s="111"/>
      <c r="I134" s="106"/>
      <c r="J134" s="418"/>
      <c r="K134" s="105"/>
      <c r="L134" s="460"/>
    </row>
    <row r="135" spans="1:12" ht="15" customHeight="1" x14ac:dyDescent="0.2">
      <c r="A135" s="403"/>
      <c r="B135" s="111"/>
      <c r="C135" s="111"/>
      <c r="D135" s="111"/>
      <c r="E135" s="111"/>
      <c r="F135" s="111"/>
      <c r="G135" s="111"/>
      <c r="H135" s="111"/>
      <c r="I135" s="106"/>
      <c r="J135" s="418"/>
      <c r="K135" s="105"/>
      <c r="L135" s="105"/>
    </row>
    <row r="136" spans="1:12" ht="15" customHeight="1" x14ac:dyDescent="0.2">
      <c r="A136" s="403"/>
      <c r="B136" s="111"/>
      <c r="C136" s="111"/>
      <c r="D136" s="111"/>
      <c r="E136" s="111"/>
      <c r="F136" s="111"/>
      <c r="G136" s="111"/>
      <c r="H136" s="111"/>
      <c r="I136" s="106"/>
      <c r="J136" s="418"/>
      <c r="K136" s="105"/>
      <c r="L136" s="105"/>
    </row>
    <row r="137" spans="1:12" ht="15" customHeight="1" x14ac:dyDescent="0.2">
      <c r="A137" s="403"/>
      <c r="B137" s="111"/>
      <c r="C137" s="111"/>
      <c r="D137" s="111"/>
      <c r="E137" s="111"/>
      <c r="F137" s="111"/>
      <c r="G137" s="111"/>
      <c r="H137" s="111"/>
      <c r="I137" s="106"/>
      <c r="J137" s="418"/>
      <c r="K137" s="105"/>
      <c r="L137" s="466"/>
    </row>
    <row r="138" spans="1:12" ht="15" customHeight="1" x14ac:dyDescent="0.2">
      <c r="A138" s="403"/>
      <c r="B138" s="111"/>
      <c r="C138" s="111"/>
      <c r="D138" s="111"/>
      <c r="E138" s="111"/>
      <c r="F138" s="111"/>
      <c r="G138" s="111"/>
      <c r="H138" s="111"/>
      <c r="I138" s="106"/>
      <c r="J138" s="418"/>
      <c r="K138" s="105"/>
      <c r="L138" s="105"/>
    </row>
    <row r="139" spans="1:12" ht="15" customHeight="1" x14ac:dyDescent="0.2">
      <c r="B139" s="111"/>
      <c r="C139" s="111"/>
      <c r="D139" s="111"/>
      <c r="E139" s="111"/>
      <c r="F139" s="111"/>
      <c r="G139" s="111"/>
      <c r="H139" s="111"/>
      <c r="I139" s="106"/>
      <c r="J139" s="418"/>
      <c r="K139" s="105"/>
      <c r="L139" s="105"/>
    </row>
    <row r="140" spans="1:12" ht="15" customHeight="1" x14ac:dyDescent="0.2">
      <c r="A140" s="395"/>
      <c r="B140" s="111"/>
      <c r="C140" s="111"/>
      <c r="D140" s="111"/>
      <c r="E140" s="111"/>
      <c r="F140" s="111"/>
      <c r="G140" s="111"/>
      <c r="H140" s="111"/>
      <c r="I140" s="106"/>
      <c r="J140" s="418"/>
      <c r="K140" s="105"/>
      <c r="L140" s="105">
        <f>4.52-2.01</f>
        <v>2.5099999999999998</v>
      </c>
    </row>
    <row r="141" spans="1:12" ht="15" customHeight="1" x14ac:dyDescent="0.2">
      <c r="A141" s="403"/>
      <c r="B141" s="111"/>
      <c r="C141" s="111"/>
      <c r="D141" s="111"/>
      <c r="E141" s="111"/>
      <c r="F141" s="111"/>
      <c r="G141" s="111"/>
      <c r="H141" s="111"/>
      <c r="I141" s="106"/>
      <c r="J141" s="418"/>
      <c r="K141" s="105"/>
      <c r="L141" s="105">
        <f>+L140*5</f>
        <v>12.549999999999999</v>
      </c>
    </row>
    <row r="142" spans="1:12" ht="15" customHeight="1" x14ac:dyDescent="0.2">
      <c r="A142" s="403"/>
      <c r="B142" s="111"/>
      <c r="C142" s="111"/>
      <c r="D142" s="111"/>
      <c r="E142" s="111"/>
      <c r="F142" s="111"/>
      <c r="G142" s="111"/>
      <c r="H142" s="111"/>
      <c r="I142" s="106"/>
      <c r="J142" s="418"/>
      <c r="K142" s="105"/>
    </row>
    <row r="143" spans="1:12" ht="15" customHeight="1" x14ac:dyDescent="0.2">
      <c r="A143" s="403"/>
      <c r="B143" s="111"/>
      <c r="C143" s="111"/>
      <c r="D143" s="111"/>
      <c r="E143" s="111"/>
      <c r="F143" s="111"/>
      <c r="G143" s="111"/>
      <c r="H143" s="111"/>
      <c r="I143" s="106"/>
      <c r="J143" s="418"/>
      <c r="K143" s="105"/>
    </row>
    <row r="144" spans="1:12" ht="15" customHeight="1" x14ac:dyDescent="0.2">
      <c r="A144" s="403"/>
      <c r="B144" s="111"/>
      <c r="C144" s="111"/>
      <c r="D144" s="111"/>
      <c r="E144" s="111"/>
      <c r="F144" s="111"/>
      <c r="G144" s="111"/>
      <c r="H144" s="111"/>
      <c r="I144" s="106"/>
      <c r="J144" s="418"/>
      <c r="K144" s="105"/>
      <c r="L144" s="460">
        <f>7.53+6.91+5.65+5.02</f>
        <v>25.110000000000003</v>
      </c>
    </row>
    <row r="145" spans="1:12" ht="15" customHeight="1" x14ac:dyDescent="0.2">
      <c r="A145" s="403"/>
      <c r="B145" s="111"/>
      <c r="C145" s="111"/>
      <c r="D145" s="111"/>
      <c r="E145" s="111"/>
      <c r="F145" s="111"/>
      <c r="G145" s="111"/>
      <c r="H145" s="111"/>
      <c r="I145" s="106"/>
      <c r="J145" s="418"/>
      <c r="K145" s="105"/>
      <c r="L145" s="460">
        <f>+L144*5</f>
        <v>125.55000000000001</v>
      </c>
    </row>
    <row r="146" spans="1:12" ht="15" customHeight="1" x14ac:dyDescent="0.2">
      <c r="B146" s="111"/>
      <c r="C146" s="111"/>
      <c r="D146" s="111"/>
      <c r="E146" s="111"/>
      <c r="F146" s="111"/>
      <c r="G146" s="111"/>
      <c r="H146" s="111"/>
      <c r="I146" s="106"/>
      <c r="J146" s="418"/>
      <c r="K146" s="105"/>
      <c r="L146" s="105"/>
    </row>
    <row r="147" spans="1:12" ht="15" customHeight="1" x14ac:dyDescent="0.2">
      <c r="B147" s="111"/>
      <c r="C147" s="111"/>
      <c r="D147" s="111"/>
      <c r="E147" s="111"/>
      <c r="F147" s="111"/>
      <c r="G147" s="111"/>
      <c r="H147" s="111"/>
      <c r="I147" s="106"/>
      <c r="J147" s="418"/>
      <c r="K147" s="105"/>
      <c r="L147" s="460">
        <v>225.09</v>
      </c>
    </row>
    <row r="148" spans="1:12" ht="15" customHeight="1" x14ac:dyDescent="0.2">
      <c r="B148" s="344" t="s">
        <v>170</v>
      </c>
      <c r="C148" s="345"/>
      <c r="D148" s="346" t="s">
        <v>50</v>
      </c>
      <c r="E148" s="347"/>
      <c r="F148" s="347"/>
      <c r="G148" s="407"/>
      <c r="H148" s="348"/>
      <c r="I148" s="401"/>
      <c r="J148" s="389"/>
      <c r="K148" s="105"/>
      <c r="L148" s="105"/>
    </row>
    <row r="149" spans="1:12" ht="15" customHeight="1" x14ac:dyDescent="0.2">
      <c r="A149" s="403"/>
      <c r="B149" s="344"/>
      <c r="C149" s="345"/>
      <c r="D149" s="282" t="s">
        <v>262</v>
      </c>
      <c r="E149" s="347"/>
      <c r="F149" s="347"/>
      <c r="G149" s="407"/>
      <c r="H149" s="348"/>
      <c r="I149" s="296"/>
      <c r="J149" s="297"/>
      <c r="K149" s="105"/>
      <c r="L149" s="466"/>
    </row>
    <row r="150" spans="1:12" ht="15" customHeight="1" x14ac:dyDescent="0.2">
      <c r="B150" s="340">
        <v>1</v>
      </c>
      <c r="C150" s="243"/>
      <c r="D150" s="242" t="s">
        <v>373</v>
      </c>
      <c r="E150" s="243"/>
      <c r="F150" s="243"/>
      <c r="G150" s="261">
        <f>7.6+3.03+3.87+4.84+18.82+1.98+4.62+19.1</f>
        <v>63.859999999999992</v>
      </c>
      <c r="H150" s="245" t="s">
        <v>26</v>
      </c>
      <c r="I150" s="386">
        <v>0</v>
      </c>
      <c r="J150" s="246">
        <f t="shared" ref="J150:J158" si="9">I150*G150</f>
        <v>0</v>
      </c>
      <c r="K150" s="105"/>
      <c r="L150" s="105"/>
    </row>
    <row r="151" spans="1:12" ht="15" customHeight="1" x14ac:dyDescent="0.2">
      <c r="B151" s="340">
        <v>2</v>
      </c>
      <c r="C151" s="355">
        <f>C148+1</f>
        <v>1</v>
      </c>
      <c r="D151" s="242" t="s">
        <v>396</v>
      </c>
      <c r="E151" s="243"/>
      <c r="F151" s="243"/>
      <c r="G151" s="261">
        <f>G150</f>
        <v>63.859999999999992</v>
      </c>
      <c r="H151" s="245" t="s">
        <v>26</v>
      </c>
      <c r="I151" s="386">
        <v>0</v>
      </c>
      <c r="J151" s="246">
        <f t="shared" si="9"/>
        <v>0</v>
      </c>
      <c r="K151" s="105"/>
      <c r="L151" s="105">
        <f>+L144*3</f>
        <v>75.330000000000013</v>
      </c>
    </row>
    <row r="152" spans="1:12" ht="15" customHeight="1" x14ac:dyDescent="0.2">
      <c r="B152" s="340">
        <v>3</v>
      </c>
      <c r="C152" s="461"/>
      <c r="D152" s="242" t="s">
        <v>439</v>
      </c>
      <c r="E152" s="293"/>
      <c r="F152" s="293"/>
      <c r="G152" s="462">
        <v>11.74</v>
      </c>
      <c r="H152" s="295" t="s">
        <v>19</v>
      </c>
      <c r="I152" s="386">
        <v>0</v>
      </c>
      <c r="J152" s="246">
        <f t="shared" ref="J152" si="10">I152*G152</f>
        <v>0</v>
      </c>
      <c r="K152" s="105"/>
      <c r="L152" s="105">
        <f>+L140*3</f>
        <v>7.5299999999999994</v>
      </c>
    </row>
    <row r="153" spans="1:12" ht="15" customHeight="1" x14ac:dyDescent="0.2">
      <c r="B153" s="340">
        <v>4</v>
      </c>
      <c r="C153" s="243"/>
      <c r="D153" s="242" t="s">
        <v>374</v>
      </c>
      <c r="E153" s="243"/>
      <c r="F153" s="243"/>
      <c r="G153" s="261">
        <f>87.11+13.54</f>
        <v>100.65</v>
      </c>
      <c r="H153" s="245" t="s">
        <v>26</v>
      </c>
      <c r="I153" s="386">
        <v>0</v>
      </c>
      <c r="J153" s="246">
        <f t="shared" si="9"/>
        <v>0</v>
      </c>
      <c r="K153" s="105"/>
      <c r="L153" s="105"/>
    </row>
    <row r="154" spans="1:12" ht="15" customHeight="1" x14ac:dyDescent="0.2">
      <c r="B154" s="340">
        <v>5</v>
      </c>
      <c r="C154" s="355">
        <f>C150+1</f>
        <v>1</v>
      </c>
      <c r="D154" s="242" t="s">
        <v>397</v>
      </c>
      <c r="E154" s="243"/>
      <c r="F154" s="243"/>
      <c r="G154" s="261">
        <f>G153</f>
        <v>100.65</v>
      </c>
      <c r="H154" s="245" t="s">
        <v>26</v>
      </c>
      <c r="I154" s="386">
        <v>0</v>
      </c>
      <c r="J154" s="246">
        <f t="shared" si="9"/>
        <v>0</v>
      </c>
      <c r="K154" s="105"/>
      <c r="L154" s="454">
        <f>+I167+I168</f>
        <v>0</v>
      </c>
    </row>
    <row r="155" spans="1:12" ht="15" customHeight="1" x14ac:dyDescent="0.2">
      <c r="B155" s="340">
        <v>6</v>
      </c>
      <c r="C155" s="461"/>
      <c r="D155" s="242" t="s">
        <v>386</v>
      </c>
      <c r="E155" s="293"/>
      <c r="F155" s="293"/>
      <c r="G155" s="462">
        <v>157.27000000000001</v>
      </c>
      <c r="H155" s="245" t="s">
        <v>26</v>
      </c>
      <c r="I155" s="386">
        <v>0</v>
      </c>
      <c r="J155" s="246">
        <f t="shared" si="9"/>
        <v>0</v>
      </c>
      <c r="K155" s="105"/>
      <c r="L155" s="455"/>
    </row>
    <row r="156" spans="1:12" ht="15" customHeight="1" x14ac:dyDescent="0.2">
      <c r="B156" s="340">
        <v>7</v>
      </c>
      <c r="C156" s="461"/>
      <c r="D156" s="242" t="s">
        <v>387</v>
      </c>
      <c r="E156" s="293"/>
      <c r="F156" s="293"/>
      <c r="G156" s="462">
        <f>+G155</f>
        <v>157.27000000000001</v>
      </c>
      <c r="H156" s="245" t="s">
        <v>26</v>
      </c>
      <c r="I156" s="386">
        <v>0</v>
      </c>
      <c r="J156" s="246">
        <f t="shared" si="9"/>
        <v>0</v>
      </c>
      <c r="K156" s="105"/>
      <c r="L156" s="105"/>
    </row>
    <row r="157" spans="1:12" ht="15" customHeight="1" x14ac:dyDescent="0.2">
      <c r="B157" s="340">
        <v>8</v>
      </c>
      <c r="C157" s="461"/>
      <c r="D157" s="242" t="s">
        <v>393</v>
      </c>
      <c r="E157" s="293"/>
      <c r="F157" s="293"/>
      <c r="G157" s="462">
        <f>(3.7+7.5+4.3+6.9)*5</f>
        <v>112</v>
      </c>
      <c r="H157" s="245" t="s">
        <v>19</v>
      </c>
      <c r="I157" s="386">
        <v>0</v>
      </c>
      <c r="J157" s="246">
        <f t="shared" si="9"/>
        <v>0</v>
      </c>
      <c r="K157" s="105"/>
      <c r="L157" s="105"/>
    </row>
    <row r="158" spans="1:12" ht="15" customHeight="1" x14ac:dyDescent="0.2">
      <c r="B158" s="340">
        <v>9</v>
      </c>
      <c r="C158" s="461"/>
      <c r="D158" s="242" t="s">
        <v>394</v>
      </c>
      <c r="E158" s="293"/>
      <c r="F158" s="293"/>
      <c r="G158" s="462">
        <f>G157</f>
        <v>112</v>
      </c>
      <c r="H158" s="295" t="s">
        <v>19</v>
      </c>
      <c r="I158" s="386">
        <v>0</v>
      </c>
      <c r="J158" s="246">
        <f t="shared" si="9"/>
        <v>0</v>
      </c>
      <c r="K158" s="105"/>
      <c r="L158" s="105"/>
    </row>
    <row r="159" spans="1:12" ht="15" customHeight="1" thickBot="1" x14ac:dyDescent="0.25">
      <c r="B159" s="341"/>
      <c r="C159" s="293"/>
      <c r="D159" s="292"/>
      <c r="E159" s="293"/>
      <c r="F159" s="293"/>
      <c r="G159" s="294"/>
      <c r="H159" s="295"/>
      <c r="I159" s="296"/>
      <c r="J159" s="297"/>
      <c r="K159" s="105"/>
      <c r="L159" s="460">
        <f>+L147+J172</f>
        <v>225.09</v>
      </c>
    </row>
    <row r="160" spans="1:12" ht="15" customHeight="1" thickBot="1" x14ac:dyDescent="0.25">
      <c r="B160" s="495"/>
      <c r="C160" s="496"/>
      <c r="D160" s="496"/>
      <c r="E160" s="496"/>
      <c r="F160" s="496"/>
      <c r="G160" s="496"/>
      <c r="H160" s="497"/>
      <c r="I160" s="342" t="s">
        <v>165</v>
      </c>
      <c r="J160" s="343">
        <f>SUM(J150:J159)</f>
        <v>0</v>
      </c>
      <c r="K160" s="105"/>
      <c r="L160" s="105"/>
    </row>
    <row r="161" spans="1:16" ht="15" customHeight="1" x14ac:dyDescent="0.2">
      <c r="B161" s="344"/>
      <c r="C161" s="345"/>
      <c r="D161" s="282" t="s">
        <v>261</v>
      </c>
      <c r="E161" s="347"/>
      <c r="F161" s="347"/>
      <c r="G161" s="407"/>
      <c r="H161" s="348"/>
      <c r="I161" s="401"/>
      <c r="J161" s="389"/>
      <c r="K161" s="105"/>
      <c r="L161" s="105"/>
    </row>
    <row r="162" spans="1:16" ht="15" customHeight="1" x14ac:dyDescent="0.2">
      <c r="B162" s="340">
        <v>1</v>
      </c>
      <c r="C162" s="243"/>
      <c r="D162" s="242" t="str">
        <f>+D150</f>
        <v>Pek. Rangka Plafond Hollow  40.40 mm, Interior</v>
      </c>
      <c r="E162" s="243"/>
      <c r="F162" s="243"/>
      <c r="G162" s="261">
        <f>15+52.52+55.84+42.95+8.89+1.44+7.04+7.62+5.93+3.88+3.89</f>
        <v>204.99999999999997</v>
      </c>
      <c r="H162" s="245" t="s">
        <v>26</v>
      </c>
      <c r="I162" s="386">
        <v>0</v>
      </c>
      <c r="J162" s="246">
        <f t="shared" ref="J162:J170" si="11">I162*G162</f>
        <v>0</v>
      </c>
      <c r="K162" s="105"/>
      <c r="L162" s="105"/>
    </row>
    <row r="163" spans="1:16" ht="15" customHeight="1" x14ac:dyDescent="0.2">
      <c r="B163" s="340">
        <v>2</v>
      </c>
      <c r="C163" s="355" t="e">
        <f>#REF!+1</f>
        <v>#REF!</v>
      </c>
      <c r="D163" s="242" t="str">
        <f>+D151</f>
        <v>Pek. Plafond Gypsum Board T. 9 mm, Interior</v>
      </c>
      <c r="E163" s="243"/>
      <c r="F163" s="243"/>
      <c r="G163" s="261">
        <f>G162</f>
        <v>204.99999999999997</v>
      </c>
      <c r="H163" s="245" t="s">
        <v>26</v>
      </c>
      <c r="I163" s="386">
        <v>0</v>
      </c>
      <c r="J163" s="246">
        <f t="shared" si="11"/>
        <v>0</v>
      </c>
      <c r="K163" s="105"/>
      <c r="L163" s="105"/>
    </row>
    <row r="164" spans="1:16" ht="15" customHeight="1" x14ac:dyDescent="0.2">
      <c r="B164" s="340">
        <v>3</v>
      </c>
      <c r="C164" s="461"/>
      <c r="D164" s="242" t="s">
        <v>439</v>
      </c>
      <c r="E164" s="293"/>
      <c r="F164" s="293"/>
      <c r="G164" s="462">
        <f>23.1+11.8+11.8+19.5+9.6+4.8</f>
        <v>80.599999999999994</v>
      </c>
      <c r="H164" s="295" t="s">
        <v>19</v>
      </c>
      <c r="I164" s="386">
        <v>0</v>
      </c>
      <c r="J164" s="246">
        <f t="shared" si="11"/>
        <v>0</v>
      </c>
      <c r="K164" s="105"/>
    </row>
    <row r="165" spans="1:16" ht="15" customHeight="1" x14ac:dyDescent="0.2">
      <c r="B165" s="340">
        <v>4</v>
      </c>
      <c r="C165" s="243"/>
      <c r="D165" s="242" t="str">
        <f>+D153</f>
        <v>Pek. Rangka Plafond Hollow  40.40 mm, Extrior</v>
      </c>
      <c r="E165" s="243"/>
      <c r="F165" s="243"/>
      <c r="G165" s="261">
        <f>42.93+6.11+18.6</f>
        <v>67.64</v>
      </c>
      <c r="H165" s="245" t="s">
        <v>26</v>
      </c>
      <c r="I165" s="386">
        <v>0</v>
      </c>
      <c r="J165" s="246">
        <f t="shared" si="11"/>
        <v>0</v>
      </c>
      <c r="L165" s="459"/>
    </row>
    <row r="166" spans="1:16" ht="15" customHeight="1" x14ac:dyDescent="0.2">
      <c r="B166" s="340">
        <v>5</v>
      </c>
      <c r="C166" s="355">
        <f>C162+1</f>
        <v>1</v>
      </c>
      <c r="D166" s="242" t="str">
        <f>+D154</f>
        <v>Pek. Plafond Gypsum Board T. 9 mm, Extrior</v>
      </c>
      <c r="E166" s="243"/>
      <c r="F166" s="243"/>
      <c r="G166" s="261">
        <f>G165</f>
        <v>67.64</v>
      </c>
      <c r="H166" s="245" t="s">
        <v>26</v>
      </c>
      <c r="I166" s="386">
        <v>0</v>
      </c>
      <c r="J166" s="246">
        <f t="shared" si="11"/>
        <v>0</v>
      </c>
    </row>
    <row r="167" spans="1:16" ht="15" customHeight="1" x14ac:dyDescent="0.2">
      <c r="B167" s="340">
        <v>6</v>
      </c>
      <c r="C167" s="355"/>
      <c r="D167" s="242" t="s">
        <v>386</v>
      </c>
      <c r="E167" s="293"/>
      <c r="F167" s="293"/>
      <c r="G167" s="462">
        <v>111.81</v>
      </c>
      <c r="H167" s="245" t="s">
        <v>26</v>
      </c>
      <c r="I167" s="386">
        <v>0</v>
      </c>
      <c r="J167" s="246">
        <f t="shared" si="11"/>
        <v>0</v>
      </c>
    </row>
    <row r="168" spans="1:16" ht="15" customHeight="1" x14ac:dyDescent="0.2">
      <c r="A168" s="395"/>
      <c r="B168" s="340">
        <v>7</v>
      </c>
      <c r="C168" s="355"/>
      <c r="D168" s="242" t="s">
        <v>387</v>
      </c>
      <c r="E168" s="293"/>
      <c r="F168" s="293"/>
      <c r="G168" s="462">
        <f>+G167</f>
        <v>111.81</v>
      </c>
      <c r="H168" s="245" t="s">
        <v>26</v>
      </c>
      <c r="I168" s="386">
        <v>0</v>
      </c>
      <c r="J168" s="246">
        <f t="shared" si="11"/>
        <v>0</v>
      </c>
      <c r="M168" s="244"/>
    </row>
    <row r="169" spans="1:16" s="448" customFormat="1" ht="15" customHeight="1" x14ac:dyDescent="0.2">
      <c r="A169" s="450"/>
      <c r="B169" s="340">
        <v>8</v>
      </c>
      <c r="C169" s="355"/>
      <c r="D169" s="242" t="s">
        <v>393</v>
      </c>
      <c r="E169" s="293"/>
      <c r="F169" s="293"/>
      <c r="G169" s="462">
        <f>(3.7+7.5+4.3+6.9)*3</f>
        <v>67.199999999999989</v>
      </c>
      <c r="H169" s="245" t="s">
        <v>26</v>
      </c>
      <c r="I169" s="386">
        <v>0</v>
      </c>
      <c r="J169" s="246">
        <f t="shared" si="11"/>
        <v>0</v>
      </c>
      <c r="K169" s="446"/>
      <c r="L169" s="446">
        <f>I184*3.5%</f>
        <v>0</v>
      </c>
      <c r="M169" s="447">
        <v>959400</v>
      </c>
      <c r="N169" s="448">
        <f>L169+M169</f>
        <v>959400</v>
      </c>
      <c r="P169" s="448">
        <v>1182</v>
      </c>
    </row>
    <row r="170" spans="1:16" s="448" customFormat="1" ht="15" customHeight="1" x14ac:dyDescent="0.2">
      <c r="B170" s="340">
        <v>9</v>
      </c>
      <c r="C170" s="355"/>
      <c r="D170" s="242" t="str">
        <f>+D158</f>
        <v>Pek. Drop Plafond (Lingkaran)</v>
      </c>
      <c r="E170" s="243"/>
      <c r="F170" s="243"/>
      <c r="G170" s="261">
        <f>G169</f>
        <v>67.199999999999989</v>
      </c>
      <c r="H170" s="295" t="s">
        <v>19</v>
      </c>
      <c r="I170" s="386">
        <v>0</v>
      </c>
      <c r="J170" s="246">
        <f t="shared" si="11"/>
        <v>0</v>
      </c>
      <c r="K170" s="446"/>
      <c r="L170" s="446"/>
      <c r="M170" s="447"/>
      <c r="N170" s="453" t="e">
        <f>N169/#REF!</f>
        <v>#REF!</v>
      </c>
      <c r="P170" s="453" t="e">
        <f>P169/N170</f>
        <v>#REF!</v>
      </c>
    </row>
    <row r="171" spans="1:16" s="448" customFormat="1" ht="15" customHeight="1" thickBot="1" x14ac:dyDescent="0.25">
      <c r="B171" s="340"/>
      <c r="C171" s="355"/>
      <c r="D171" s="242"/>
      <c r="E171" s="243"/>
      <c r="F171" s="243"/>
      <c r="G171" s="261"/>
      <c r="H171" s="245"/>
      <c r="I171" s="240"/>
      <c r="J171" s="246"/>
      <c r="K171" s="446"/>
      <c r="L171" s="446"/>
      <c r="M171" s="447"/>
    </row>
    <row r="172" spans="1:16" s="448" customFormat="1" ht="15" customHeight="1" thickBot="1" x14ac:dyDescent="0.25">
      <c r="B172" s="498"/>
      <c r="C172" s="499"/>
      <c r="D172" s="499"/>
      <c r="E172" s="499"/>
      <c r="F172" s="499"/>
      <c r="G172" s="499"/>
      <c r="H172" s="499"/>
      <c r="I172" s="342" t="s">
        <v>165</v>
      </c>
      <c r="J172" s="343">
        <f>SUM(J162:J171)</f>
        <v>0</v>
      </c>
      <c r="K172" s="446"/>
      <c r="L172" s="446"/>
      <c r="M172" s="447"/>
    </row>
    <row r="173" spans="1:16" s="448" customFormat="1" ht="15" customHeight="1" x14ac:dyDescent="0.2">
      <c r="B173" s="419" t="s">
        <v>171</v>
      </c>
      <c r="C173" s="420"/>
      <c r="D173" s="284" t="s">
        <v>273</v>
      </c>
      <c r="E173" s="421"/>
      <c r="F173" s="421"/>
      <c r="G173" s="422"/>
      <c r="H173" s="423"/>
      <c r="I173" s="349"/>
      <c r="J173" s="350"/>
      <c r="K173" s="446"/>
      <c r="L173" s="446"/>
      <c r="M173" s="447"/>
    </row>
    <row r="174" spans="1:16" s="448" customFormat="1" ht="15" customHeight="1" x14ac:dyDescent="0.2">
      <c r="B174" s="344"/>
      <c r="C174" s="345"/>
      <c r="D174" s="282" t="s">
        <v>262</v>
      </c>
      <c r="E174" s="109"/>
      <c r="F174" s="109"/>
      <c r="G174" s="407"/>
      <c r="H174" s="348"/>
      <c r="I174" s="349"/>
      <c r="J174" s="350"/>
      <c r="K174" s="446"/>
      <c r="L174" s="446"/>
      <c r="M174" s="447"/>
    </row>
    <row r="175" spans="1:16" s="448" customFormat="1" ht="15" customHeight="1" x14ac:dyDescent="0.2">
      <c r="B175" s="340">
        <v>1</v>
      </c>
      <c r="C175" s="243"/>
      <c r="D175" s="243" t="s">
        <v>404</v>
      </c>
      <c r="E175" s="424"/>
      <c r="F175" s="425"/>
      <c r="G175" s="261">
        <v>158.06</v>
      </c>
      <c r="H175" s="426" t="s">
        <v>19</v>
      </c>
      <c r="I175" s="386">
        <v>0</v>
      </c>
      <c r="J175" s="427">
        <f t="shared" ref="J175:J182" si="12">I175*G175</f>
        <v>0</v>
      </c>
      <c r="K175" s="446"/>
      <c r="L175" s="446"/>
      <c r="M175" s="447"/>
    </row>
    <row r="176" spans="1:16" s="448" customFormat="1" ht="15" customHeight="1" x14ac:dyDescent="0.2">
      <c r="B176" s="340">
        <v>2</v>
      </c>
      <c r="C176" s="355"/>
      <c r="D176" s="243" t="s">
        <v>353</v>
      </c>
      <c r="E176" s="424"/>
      <c r="F176" s="425"/>
      <c r="G176" s="261">
        <v>1</v>
      </c>
      <c r="H176" s="426" t="s">
        <v>29</v>
      </c>
      <c r="I176" s="386">
        <v>0</v>
      </c>
      <c r="J176" s="427">
        <f t="shared" si="12"/>
        <v>0</v>
      </c>
      <c r="K176" s="446"/>
      <c r="L176" s="446"/>
      <c r="M176" s="447"/>
    </row>
    <row r="177" spans="2:14" s="448" customFormat="1" ht="15" customHeight="1" x14ac:dyDescent="0.2">
      <c r="B177" s="340">
        <v>3</v>
      </c>
      <c r="C177" s="355"/>
      <c r="D177" s="243" t="s">
        <v>427</v>
      </c>
      <c r="E177" s="424"/>
      <c r="F177" s="425"/>
      <c r="G177" s="261">
        <v>2</v>
      </c>
      <c r="H177" s="426" t="s">
        <v>29</v>
      </c>
      <c r="I177" s="386">
        <v>0</v>
      </c>
      <c r="J177" s="427">
        <f>I177*G177</f>
        <v>0</v>
      </c>
      <c r="K177" s="446"/>
      <c r="L177" s="446"/>
      <c r="M177" s="447"/>
    </row>
    <row r="178" spans="2:14" s="448" customFormat="1" ht="15" customHeight="1" x14ac:dyDescent="0.2">
      <c r="B178" s="340">
        <v>4</v>
      </c>
      <c r="C178" s="355"/>
      <c r="D178" s="243" t="s">
        <v>316</v>
      </c>
      <c r="E178" s="424"/>
      <c r="F178" s="425"/>
      <c r="G178" s="261">
        <v>3</v>
      </c>
      <c r="H178" s="426" t="s">
        <v>29</v>
      </c>
      <c r="I178" s="386">
        <v>0</v>
      </c>
      <c r="J178" s="427">
        <f t="shared" si="12"/>
        <v>0</v>
      </c>
      <c r="K178" s="446"/>
      <c r="L178" s="446"/>
      <c r="M178" s="447"/>
    </row>
    <row r="179" spans="2:14" s="448" customFormat="1" ht="15" customHeight="1" x14ac:dyDescent="0.2">
      <c r="B179" s="340">
        <v>5</v>
      </c>
      <c r="C179" s="355"/>
      <c r="D179" s="243" t="s">
        <v>317</v>
      </c>
      <c r="E179" s="424"/>
      <c r="F179" s="425"/>
      <c r="G179" s="261">
        <v>5</v>
      </c>
      <c r="H179" s="426" t="s">
        <v>29</v>
      </c>
      <c r="I179" s="386">
        <v>0</v>
      </c>
      <c r="J179" s="427">
        <f t="shared" si="12"/>
        <v>0</v>
      </c>
      <c r="K179" s="446"/>
      <c r="L179" s="446"/>
      <c r="M179" s="447"/>
    </row>
    <row r="180" spans="2:14" s="448" customFormat="1" ht="15" customHeight="1" x14ac:dyDescent="0.2">
      <c r="B180" s="340">
        <v>6</v>
      </c>
      <c r="C180" s="355"/>
      <c r="D180" s="243" t="s">
        <v>398</v>
      </c>
      <c r="E180" s="424"/>
      <c r="F180" s="425"/>
      <c r="G180" s="261">
        <v>5</v>
      </c>
      <c r="H180" s="426" t="s">
        <v>29</v>
      </c>
      <c r="I180" s="386">
        <v>0</v>
      </c>
      <c r="J180" s="427">
        <f t="shared" si="12"/>
        <v>0</v>
      </c>
      <c r="K180" s="446"/>
      <c r="L180" s="446">
        <f>1023100*3.5%</f>
        <v>35808.5</v>
      </c>
      <c r="M180" s="447">
        <v>1023100</v>
      </c>
      <c r="N180" s="448">
        <f>L180+M180</f>
        <v>1058908.5</v>
      </c>
    </row>
    <row r="181" spans="2:14" ht="15" customHeight="1" x14ac:dyDescent="0.2">
      <c r="B181" s="340">
        <v>7</v>
      </c>
      <c r="C181" s="355"/>
      <c r="D181" s="243" t="s">
        <v>399</v>
      </c>
      <c r="E181" s="424"/>
      <c r="F181" s="425"/>
      <c r="G181" s="261">
        <f>+(1.22*0.89)*7</f>
        <v>7.6006000000000009</v>
      </c>
      <c r="H181" s="426" t="s">
        <v>26</v>
      </c>
      <c r="I181" s="386">
        <v>0</v>
      </c>
      <c r="J181" s="427">
        <f t="shared" si="12"/>
        <v>0</v>
      </c>
    </row>
    <row r="182" spans="2:14" ht="15" customHeight="1" x14ac:dyDescent="0.2">
      <c r="B182" s="340">
        <v>8</v>
      </c>
      <c r="C182" s="355"/>
      <c r="D182" s="243" t="s">
        <v>400</v>
      </c>
      <c r="E182" s="424"/>
      <c r="F182" s="425"/>
      <c r="G182" s="261">
        <f>+G175</f>
        <v>158.06</v>
      </c>
      <c r="H182" s="426" t="s">
        <v>26</v>
      </c>
      <c r="I182" s="386">
        <v>0</v>
      </c>
      <c r="J182" s="427">
        <f t="shared" si="12"/>
        <v>0</v>
      </c>
      <c r="L182" s="105"/>
    </row>
    <row r="183" spans="2:14" ht="15.95" customHeight="1" x14ac:dyDescent="0.2">
      <c r="B183" s="340">
        <v>9</v>
      </c>
      <c r="C183" s="293"/>
      <c r="D183" s="442" t="s">
        <v>381</v>
      </c>
      <c r="E183" s="293"/>
      <c r="F183" s="293"/>
      <c r="G183" s="244">
        <f>2.44*1.2</f>
        <v>2.9279999999999999</v>
      </c>
      <c r="H183" s="245" t="s">
        <v>26</v>
      </c>
      <c r="I183" s="386">
        <v>0</v>
      </c>
      <c r="J183" s="246">
        <f>I183*G183</f>
        <v>0</v>
      </c>
      <c r="K183" s="105"/>
      <c r="L183" s="105"/>
    </row>
    <row r="184" spans="2:14" ht="15.95" customHeight="1" x14ac:dyDescent="0.2">
      <c r="B184" s="451">
        <v>10</v>
      </c>
      <c r="C184" s="452"/>
      <c r="D184" s="243" t="s">
        <v>429</v>
      </c>
      <c r="E184" s="243"/>
      <c r="F184" s="436" t="s">
        <v>432</v>
      </c>
      <c r="G184" s="465">
        <f>2.48*3.3</f>
        <v>8.1839999999999993</v>
      </c>
      <c r="H184" s="245" t="s">
        <v>26</v>
      </c>
      <c r="I184" s="386">
        <v>0</v>
      </c>
      <c r="J184" s="449">
        <f t="shared" ref="J184:J195" si="13">+I184*G184</f>
        <v>0</v>
      </c>
      <c r="K184" s="105"/>
      <c r="L184" s="105"/>
    </row>
    <row r="185" spans="2:14" ht="15.95" customHeight="1" x14ac:dyDescent="0.2">
      <c r="B185" s="340">
        <v>11</v>
      </c>
      <c r="C185" s="452"/>
      <c r="D185" s="243" t="s">
        <v>433</v>
      </c>
      <c r="E185" s="243"/>
      <c r="F185" s="436" t="s">
        <v>432</v>
      </c>
      <c r="G185" s="465">
        <v>2.36</v>
      </c>
      <c r="H185" s="245" t="s">
        <v>19</v>
      </c>
      <c r="I185" s="386">
        <v>0</v>
      </c>
      <c r="J185" s="449">
        <f t="shared" si="13"/>
        <v>0</v>
      </c>
      <c r="K185" s="105"/>
      <c r="L185" s="460"/>
    </row>
    <row r="186" spans="2:14" ht="15.95" customHeight="1" x14ac:dyDescent="0.2">
      <c r="B186" s="451">
        <v>12</v>
      </c>
      <c r="C186" s="452"/>
      <c r="D186" s="243" t="s">
        <v>299</v>
      </c>
      <c r="E186" s="243"/>
      <c r="F186" s="436" t="s">
        <v>432</v>
      </c>
      <c r="G186" s="465">
        <f>4.6*2.75</f>
        <v>12.649999999999999</v>
      </c>
      <c r="H186" s="245" t="s">
        <v>26</v>
      </c>
      <c r="I186" s="386">
        <v>0</v>
      </c>
      <c r="J186" s="449">
        <f t="shared" si="13"/>
        <v>0</v>
      </c>
      <c r="K186" s="105"/>
      <c r="L186" s="105"/>
    </row>
    <row r="187" spans="2:14" ht="15.95" customHeight="1" x14ac:dyDescent="0.2">
      <c r="B187" s="340">
        <v>13</v>
      </c>
      <c r="C187" s="452"/>
      <c r="D187" s="243" t="s">
        <v>300</v>
      </c>
      <c r="E187" s="243"/>
      <c r="F187" s="436" t="s">
        <v>432</v>
      </c>
      <c r="G187" s="465">
        <f>3.38*3.3</f>
        <v>11.154</v>
      </c>
      <c r="H187" s="245" t="s">
        <v>26</v>
      </c>
      <c r="I187" s="386">
        <v>0</v>
      </c>
      <c r="J187" s="449">
        <f t="shared" si="13"/>
        <v>0</v>
      </c>
      <c r="K187" s="105"/>
      <c r="L187" s="105"/>
    </row>
    <row r="188" spans="2:14" ht="15.95" customHeight="1" x14ac:dyDescent="0.2">
      <c r="B188" s="451">
        <v>14</v>
      </c>
      <c r="C188" s="452"/>
      <c r="D188" s="243" t="s">
        <v>301</v>
      </c>
      <c r="E188" s="243"/>
      <c r="F188" s="436" t="s">
        <v>432</v>
      </c>
      <c r="G188" s="465">
        <f>1.06*3.3*2</f>
        <v>6.9959999999999996</v>
      </c>
      <c r="H188" s="245" t="s">
        <v>26</v>
      </c>
      <c r="I188" s="386">
        <v>0</v>
      </c>
      <c r="J188" s="449">
        <f t="shared" si="13"/>
        <v>0</v>
      </c>
      <c r="K188" s="105"/>
      <c r="L188" s="105"/>
    </row>
    <row r="189" spans="2:14" ht="15.95" customHeight="1" x14ac:dyDescent="0.2">
      <c r="B189" s="340">
        <v>15</v>
      </c>
      <c r="C189" s="452"/>
      <c r="D189" s="243" t="s">
        <v>302</v>
      </c>
      <c r="E189" s="243"/>
      <c r="F189" s="436" t="s">
        <v>432</v>
      </c>
      <c r="G189" s="465">
        <f>4.88*2.75</f>
        <v>13.42</v>
      </c>
      <c r="H189" s="245" t="s">
        <v>26</v>
      </c>
      <c r="I189" s="386">
        <v>0</v>
      </c>
      <c r="J189" s="449">
        <f t="shared" si="13"/>
        <v>0</v>
      </c>
      <c r="K189" s="105"/>
      <c r="L189" s="105"/>
    </row>
    <row r="190" spans="2:14" ht="15.95" customHeight="1" x14ac:dyDescent="0.2">
      <c r="B190" s="451">
        <v>16</v>
      </c>
      <c r="C190" s="452"/>
      <c r="D190" s="243" t="s">
        <v>305</v>
      </c>
      <c r="E190" s="243"/>
      <c r="F190" s="436" t="s">
        <v>432</v>
      </c>
      <c r="G190" s="465">
        <f>3.45*2.75</f>
        <v>9.4875000000000007</v>
      </c>
      <c r="H190" s="245" t="s">
        <v>26</v>
      </c>
      <c r="I190" s="386">
        <v>0</v>
      </c>
      <c r="J190" s="449">
        <f t="shared" si="13"/>
        <v>0</v>
      </c>
      <c r="K190" s="105"/>
      <c r="L190" s="105"/>
    </row>
    <row r="191" spans="2:14" ht="15.95" customHeight="1" x14ac:dyDescent="0.2">
      <c r="B191" s="340">
        <v>17</v>
      </c>
      <c r="C191" s="452"/>
      <c r="D191" s="243" t="s">
        <v>306</v>
      </c>
      <c r="E191" s="243"/>
      <c r="F191" s="436" t="s">
        <v>432</v>
      </c>
      <c r="G191" s="465">
        <f>4.75*2.75</f>
        <v>13.0625</v>
      </c>
      <c r="H191" s="245" t="s">
        <v>26</v>
      </c>
      <c r="I191" s="386">
        <v>0</v>
      </c>
      <c r="J191" s="449">
        <f t="shared" si="13"/>
        <v>0</v>
      </c>
      <c r="K191" s="105"/>
    </row>
    <row r="192" spans="2:14" ht="15" customHeight="1" x14ac:dyDescent="0.2">
      <c r="B192" s="451">
        <v>18</v>
      </c>
      <c r="C192" s="452"/>
      <c r="D192" s="243" t="s">
        <v>307</v>
      </c>
      <c r="E192" s="243"/>
      <c r="F192" s="436" t="s">
        <v>432</v>
      </c>
      <c r="G192" s="465">
        <v>1.6</v>
      </c>
      <c r="H192" s="245" t="s">
        <v>26</v>
      </c>
      <c r="I192" s="386">
        <v>0</v>
      </c>
      <c r="J192" s="449">
        <f t="shared" si="13"/>
        <v>0</v>
      </c>
    </row>
    <row r="193" spans="2:13" ht="15.75" customHeight="1" x14ac:dyDescent="0.2">
      <c r="B193" s="340">
        <v>19</v>
      </c>
      <c r="C193" s="452"/>
      <c r="D193" s="243" t="s">
        <v>430</v>
      </c>
      <c r="E193" s="243"/>
      <c r="F193" s="436" t="s">
        <v>432</v>
      </c>
      <c r="G193" s="465">
        <f>2.49*2.75</f>
        <v>6.8475000000000001</v>
      </c>
      <c r="H193" s="245" t="s">
        <v>26</v>
      </c>
      <c r="I193" s="386">
        <v>0</v>
      </c>
      <c r="J193" s="449">
        <f t="shared" si="13"/>
        <v>0</v>
      </c>
      <c r="K193" s="105"/>
      <c r="L193" s="105"/>
      <c r="M193" s="404">
        <f>SUM(J175:J182)</f>
        <v>0</v>
      </c>
    </row>
    <row r="194" spans="2:13" ht="15.75" customHeight="1" x14ac:dyDescent="0.2">
      <c r="B194" s="451">
        <v>20</v>
      </c>
      <c r="C194" s="452"/>
      <c r="D194" s="243" t="s">
        <v>434</v>
      </c>
      <c r="E194" s="243"/>
      <c r="F194" s="436" t="s">
        <v>432</v>
      </c>
      <c r="G194" s="465">
        <v>1.1000000000000001</v>
      </c>
      <c r="H194" s="245" t="s">
        <v>19</v>
      </c>
      <c r="I194" s="386">
        <v>0</v>
      </c>
      <c r="J194" s="449">
        <f t="shared" si="13"/>
        <v>0</v>
      </c>
      <c r="K194" s="105"/>
    </row>
    <row r="195" spans="2:13" ht="15.75" customHeight="1" x14ac:dyDescent="0.2">
      <c r="B195" s="340">
        <v>21</v>
      </c>
      <c r="C195" s="452"/>
      <c r="D195" s="243" t="s">
        <v>431</v>
      </c>
      <c r="E195" s="243"/>
      <c r="F195" s="436" t="s">
        <v>432</v>
      </c>
      <c r="G195" s="465">
        <f>3.12*4.8</f>
        <v>14.975999999999999</v>
      </c>
      <c r="H195" s="245" t="s">
        <v>26</v>
      </c>
      <c r="I195" s="386">
        <v>0</v>
      </c>
      <c r="J195" s="449">
        <f t="shared" si="13"/>
        <v>0</v>
      </c>
      <c r="K195" s="105"/>
    </row>
    <row r="196" spans="2:13" ht="15.75" customHeight="1" x14ac:dyDescent="0.2">
      <c r="B196" s="340"/>
      <c r="C196" s="355"/>
      <c r="D196" s="243"/>
      <c r="E196" s="424"/>
      <c r="F196" s="425"/>
      <c r="G196" s="261"/>
      <c r="H196" s="426"/>
      <c r="I196" s="240"/>
      <c r="J196" s="427"/>
      <c r="K196" s="105"/>
    </row>
    <row r="197" spans="2:13" ht="15.75" customHeight="1" thickBot="1" x14ac:dyDescent="0.25">
      <c r="B197" s="340"/>
      <c r="C197" s="355"/>
      <c r="D197" s="243"/>
      <c r="E197" s="424"/>
      <c r="F197" s="425"/>
      <c r="G197" s="261"/>
      <c r="H197" s="426"/>
      <c r="I197" s="240"/>
      <c r="J197" s="427"/>
      <c r="K197" s="105"/>
    </row>
    <row r="198" spans="2:13" ht="15.75" customHeight="1" thickBot="1" x14ac:dyDescent="0.25">
      <c r="B198" s="495"/>
      <c r="C198" s="496"/>
      <c r="D198" s="496"/>
      <c r="E198" s="496"/>
      <c r="F198" s="496"/>
      <c r="G198" s="496"/>
      <c r="H198" s="497"/>
      <c r="I198" s="342" t="s">
        <v>165</v>
      </c>
      <c r="J198" s="343">
        <f>SUM(J175:J197)</f>
        <v>0</v>
      </c>
      <c r="K198" s="105"/>
    </row>
    <row r="199" spans="2:13" ht="15.75" customHeight="1" x14ac:dyDescent="0.2">
      <c r="B199" s="344"/>
      <c r="C199" s="345"/>
      <c r="D199" s="282" t="s">
        <v>261</v>
      </c>
      <c r="E199" s="384"/>
      <c r="F199" s="428"/>
      <c r="G199" s="407"/>
      <c r="H199" s="348"/>
      <c r="I199" s="349"/>
      <c r="J199" s="350"/>
      <c r="K199" s="105"/>
    </row>
    <row r="200" spans="2:13" ht="15" customHeight="1" x14ac:dyDescent="0.2">
      <c r="B200" s="340">
        <v>1</v>
      </c>
      <c r="C200" s="355"/>
      <c r="D200" s="243" t="str">
        <f>D175</f>
        <v>Pek. Kusen jendela aluminium putih</v>
      </c>
      <c r="E200" s="424"/>
      <c r="F200" s="425"/>
      <c r="G200" s="261">
        <v>191.14</v>
      </c>
      <c r="H200" s="426" t="s">
        <v>19</v>
      </c>
      <c r="I200" s="386">
        <v>0</v>
      </c>
      <c r="J200" s="427">
        <f t="shared" ref="J200:J207" si="14">I200*G200</f>
        <v>0</v>
      </c>
      <c r="L200" s="105"/>
    </row>
    <row r="201" spans="2:13" ht="15.95" customHeight="1" x14ac:dyDescent="0.2">
      <c r="B201" s="340">
        <v>2</v>
      </c>
      <c r="C201" s="355"/>
      <c r="D201" s="243" t="s">
        <v>353</v>
      </c>
      <c r="E201" s="424"/>
      <c r="F201" s="425"/>
      <c r="G201" s="261">
        <v>1</v>
      </c>
      <c r="H201" s="426" t="s">
        <v>29</v>
      </c>
      <c r="I201" s="386">
        <v>0</v>
      </c>
      <c r="J201" s="427">
        <f t="shared" si="14"/>
        <v>0</v>
      </c>
      <c r="K201" s="105"/>
      <c r="L201" s="460">
        <f>+L185+J209</f>
        <v>0</v>
      </c>
    </row>
    <row r="202" spans="2:13" ht="15.95" customHeight="1" x14ac:dyDescent="0.2">
      <c r="B202" s="340">
        <v>3</v>
      </c>
      <c r="C202" s="355"/>
      <c r="D202" s="243" t="s">
        <v>427</v>
      </c>
      <c r="E202" s="424"/>
      <c r="F202" s="425"/>
      <c r="G202" s="261">
        <v>2</v>
      </c>
      <c r="H202" s="426" t="s">
        <v>29</v>
      </c>
      <c r="I202" s="386">
        <v>0</v>
      </c>
      <c r="J202" s="427">
        <f t="shared" si="14"/>
        <v>0</v>
      </c>
      <c r="K202" s="105"/>
      <c r="L202" s="105"/>
    </row>
    <row r="203" spans="2:13" ht="15.95" customHeight="1" x14ac:dyDescent="0.2">
      <c r="B203" s="340">
        <v>4</v>
      </c>
      <c r="C203" s="355"/>
      <c r="D203" s="243" t="s">
        <v>316</v>
      </c>
      <c r="E203" s="424"/>
      <c r="F203" s="425"/>
      <c r="G203" s="261">
        <v>5</v>
      </c>
      <c r="H203" s="426" t="s">
        <v>29</v>
      </c>
      <c r="I203" s="386">
        <v>0</v>
      </c>
      <c r="J203" s="427">
        <f t="shared" si="14"/>
        <v>0</v>
      </c>
      <c r="K203" s="105"/>
      <c r="L203" s="105"/>
    </row>
    <row r="204" spans="2:13" ht="15.95" customHeight="1" x14ac:dyDescent="0.2">
      <c r="B204" s="340">
        <v>5</v>
      </c>
      <c r="C204" s="355"/>
      <c r="D204" s="243" t="s">
        <v>317</v>
      </c>
      <c r="E204" s="424"/>
      <c r="F204" s="425"/>
      <c r="G204" s="261">
        <v>3</v>
      </c>
      <c r="H204" s="426" t="s">
        <v>29</v>
      </c>
      <c r="I204" s="386">
        <v>0</v>
      </c>
      <c r="J204" s="427">
        <f t="shared" si="14"/>
        <v>0</v>
      </c>
      <c r="K204" s="105"/>
      <c r="L204" s="105"/>
    </row>
    <row r="205" spans="2:13" ht="15.95" customHeight="1" x14ac:dyDescent="0.2">
      <c r="B205" s="340">
        <v>6</v>
      </c>
      <c r="C205" s="355"/>
      <c r="D205" s="243" t="str">
        <f>+D180</f>
        <v>Pek. V1A Ventilasi Kaca Mati 5 mm</v>
      </c>
      <c r="E205" s="424"/>
      <c r="F205" s="425"/>
      <c r="G205" s="261">
        <v>3</v>
      </c>
      <c r="H205" s="426" t="s">
        <v>29</v>
      </c>
      <c r="I205" s="386">
        <v>0</v>
      </c>
      <c r="J205" s="427">
        <f t="shared" si="14"/>
        <v>0</v>
      </c>
      <c r="K205" s="105"/>
    </row>
    <row r="206" spans="2:13" ht="15.75" customHeight="1" x14ac:dyDescent="0.2">
      <c r="B206" s="340">
        <v>7</v>
      </c>
      <c r="C206" s="355"/>
      <c r="D206" s="243" t="str">
        <f>+D181</f>
        <v>Pek. Casemeant + Kaca Mati 5 mm</v>
      </c>
      <c r="E206" s="424"/>
      <c r="F206" s="425"/>
      <c r="G206" s="261">
        <f>+(1.22*0.89)*9</f>
        <v>9.7722000000000016</v>
      </c>
      <c r="H206" s="426" t="s">
        <v>26</v>
      </c>
      <c r="I206" s="386">
        <v>0</v>
      </c>
      <c r="J206" s="427">
        <f t="shared" si="14"/>
        <v>0</v>
      </c>
      <c r="K206" s="105"/>
      <c r="L206" s="105"/>
      <c r="M206" s="404" t="e">
        <f>SUM(#REF!)</f>
        <v>#REF!</v>
      </c>
    </row>
    <row r="207" spans="2:13" ht="15.75" customHeight="1" x14ac:dyDescent="0.2">
      <c r="B207" s="340">
        <v>8</v>
      </c>
      <c r="C207" s="355"/>
      <c r="D207" s="243" t="str">
        <f>+D182</f>
        <v>Pek. Kaca Mati Daun Pintu dan Jendela t. 5 mm</v>
      </c>
      <c r="E207" s="424"/>
      <c r="F207" s="425"/>
      <c r="G207" s="261">
        <f>+G200</f>
        <v>191.14</v>
      </c>
      <c r="H207" s="426" t="s">
        <v>26</v>
      </c>
      <c r="I207" s="386">
        <v>0</v>
      </c>
      <c r="J207" s="427">
        <f t="shared" si="14"/>
        <v>0</v>
      </c>
      <c r="K207" s="105"/>
      <c r="L207" s="459"/>
    </row>
    <row r="208" spans="2:13" ht="15" customHeight="1" thickBot="1" x14ac:dyDescent="0.25">
      <c r="B208" s="340"/>
      <c r="C208" s="355"/>
      <c r="D208" s="243"/>
      <c r="E208" s="424"/>
      <c r="F208" s="425"/>
      <c r="G208" s="261"/>
      <c r="H208" s="426"/>
      <c r="I208" s="240"/>
      <c r="J208" s="427"/>
      <c r="L208" s="268"/>
    </row>
    <row r="209" spans="2:18" s="262" customFormat="1" ht="15" customHeight="1" thickBot="1" x14ac:dyDescent="0.25">
      <c r="B209" s="498"/>
      <c r="C209" s="499"/>
      <c r="D209" s="499"/>
      <c r="E209" s="499"/>
      <c r="F209" s="499"/>
      <c r="G209" s="499"/>
      <c r="H209" s="499"/>
      <c r="I209" s="414" t="s">
        <v>165</v>
      </c>
      <c r="J209" s="415">
        <f>SUM(J200:J208)</f>
        <v>0</v>
      </c>
      <c r="K209" s="268"/>
      <c r="L209" s="268"/>
      <c r="M209" s="269"/>
      <c r="N209" s="269"/>
      <c r="O209" s="269"/>
      <c r="P209" s="269"/>
      <c r="Q209" s="269"/>
      <c r="R209" s="269"/>
    </row>
    <row r="210" spans="2:18" s="262" customFormat="1" ht="15" customHeight="1" x14ac:dyDescent="0.2">
      <c r="B210" s="416"/>
      <c r="C210" s="416"/>
      <c r="D210" s="416"/>
      <c r="E210" s="416"/>
      <c r="F210" s="416"/>
      <c r="G210" s="416"/>
      <c r="H210" s="416"/>
      <c r="I210" s="352"/>
      <c r="J210" s="417"/>
      <c r="K210" s="268"/>
      <c r="L210" s="274"/>
      <c r="M210" s="269"/>
      <c r="N210" s="269"/>
      <c r="O210" s="269"/>
      <c r="P210" s="269"/>
      <c r="Q210" s="269"/>
      <c r="R210" s="269"/>
    </row>
    <row r="211" spans="2:18" s="262" customFormat="1" ht="15" customHeight="1" x14ac:dyDescent="0.2">
      <c r="B211" s="111"/>
      <c r="C211" s="111"/>
      <c r="D211" s="111"/>
      <c r="E211" s="111"/>
      <c r="F211" s="111"/>
      <c r="G211" s="111"/>
      <c r="H211" s="111"/>
      <c r="I211" s="106"/>
      <c r="J211" s="418"/>
      <c r="K211" s="274"/>
      <c r="L211" s="274"/>
      <c r="M211" s="269"/>
      <c r="N211" s="269"/>
      <c r="O211" s="269"/>
      <c r="P211" s="269"/>
      <c r="Q211" s="269"/>
      <c r="R211" s="269"/>
    </row>
    <row r="212" spans="2:18" s="262" customFormat="1" ht="15" customHeight="1" x14ac:dyDescent="0.2">
      <c r="B212" s="111"/>
      <c r="C212" s="111"/>
      <c r="D212" s="111"/>
      <c r="E212" s="111"/>
      <c r="F212" s="111"/>
      <c r="G212" s="111"/>
      <c r="H212" s="111"/>
      <c r="I212" s="106"/>
      <c r="J212" s="418"/>
      <c r="K212" s="274"/>
      <c r="L212" s="274"/>
      <c r="M212" s="269"/>
      <c r="N212" s="269"/>
      <c r="O212" s="269"/>
      <c r="P212" s="269"/>
      <c r="Q212" s="269"/>
      <c r="R212" s="269"/>
    </row>
    <row r="213" spans="2:18" s="262" customFormat="1" ht="15" customHeight="1" x14ac:dyDescent="0.2">
      <c r="B213" s="111"/>
      <c r="C213" s="111"/>
      <c r="D213" s="111"/>
      <c r="E213" s="111"/>
      <c r="F213" s="111"/>
      <c r="G213" s="111"/>
      <c r="H213" s="111"/>
      <c r="I213" s="106"/>
      <c r="J213" s="418"/>
      <c r="K213" s="274"/>
      <c r="L213" s="274"/>
      <c r="M213" s="269"/>
      <c r="N213" s="269"/>
      <c r="O213" s="269"/>
      <c r="P213" s="269"/>
      <c r="Q213" s="269"/>
      <c r="R213" s="269"/>
    </row>
    <row r="214" spans="2:18" s="262" customFormat="1" ht="15" customHeight="1" x14ac:dyDescent="0.2">
      <c r="B214" s="111"/>
      <c r="C214" s="111"/>
      <c r="D214" s="111"/>
      <c r="E214" s="111"/>
      <c r="F214" s="111"/>
      <c r="G214" s="111"/>
      <c r="H214" s="111"/>
      <c r="I214" s="106"/>
      <c r="J214" s="418"/>
      <c r="K214" s="274"/>
      <c r="L214" s="274"/>
      <c r="M214" s="269"/>
      <c r="N214" s="269"/>
      <c r="O214" s="269"/>
      <c r="P214" s="269"/>
      <c r="Q214" s="269"/>
      <c r="R214" s="269"/>
    </row>
    <row r="215" spans="2:18" s="262" customFormat="1" ht="15" customHeight="1" x14ac:dyDescent="0.2">
      <c r="B215" s="329" t="s">
        <v>172</v>
      </c>
      <c r="C215" s="263"/>
      <c r="D215" s="285" t="s">
        <v>276</v>
      </c>
      <c r="E215" s="263"/>
      <c r="F215" s="263"/>
      <c r="G215" s="264"/>
      <c r="H215" s="265"/>
      <c r="I215" s="266"/>
      <c r="J215" s="267"/>
      <c r="K215" s="274"/>
      <c r="L215" s="274"/>
      <c r="M215" s="269"/>
      <c r="N215" s="269"/>
      <c r="O215" s="269"/>
      <c r="P215" s="269"/>
      <c r="Q215" s="269"/>
      <c r="R215" s="269"/>
    </row>
    <row r="216" spans="2:18" s="262" customFormat="1" ht="15" customHeight="1" x14ac:dyDescent="0.2">
      <c r="B216" s="359"/>
      <c r="C216" s="360"/>
      <c r="D216" s="282" t="s">
        <v>262</v>
      </c>
      <c r="E216" s="360"/>
      <c r="F216" s="360"/>
      <c r="G216" s="361"/>
      <c r="H216" s="362"/>
      <c r="I216" s="363"/>
      <c r="J216" s="364"/>
      <c r="K216" s="274"/>
      <c r="L216" s="274"/>
      <c r="M216" s="269"/>
      <c r="N216" s="269"/>
      <c r="O216" s="269"/>
      <c r="P216" s="269"/>
      <c r="Q216" s="269"/>
      <c r="R216" s="269"/>
    </row>
    <row r="217" spans="2:18" s="262" customFormat="1" ht="15" customHeight="1" x14ac:dyDescent="0.2">
      <c r="B217" s="270">
        <v>1</v>
      </c>
      <c r="C217" s="271"/>
      <c r="D217" s="353" t="s">
        <v>405</v>
      </c>
      <c r="E217" s="271"/>
      <c r="F217" s="271"/>
      <c r="G217" s="429">
        <v>4</v>
      </c>
      <c r="H217" s="354" t="s">
        <v>18</v>
      </c>
      <c r="I217" s="386">
        <v>0</v>
      </c>
      <c r="J217" s="273">
        <f t="shared" ref="J217:J227" si="15">G217*I217</f>
        <v>0</v>
      </c>
      <c r="K217" s="274"/>
      <c r="L217" s="274"/>
      <c r="M217" s="269"/>
      <c r="N217" s="269"/>
      <c r="O217" s="269"/>
      <c r="P217" s="269"/>
      <c r="Q217" s="269"/>
      <c r="R217" s="269"/>
    </row>
    <row r="218" spans="2:18" s="262" customFormat="1" ht="15" customHeight="1" x14ac:dyDescent="0.2">
      <c r="B218" s="270">
        <f t="shared" ref="B218:B228" si="16">B217+1</f>
        <v>2</v>
      </c>
      <c r="C218" s="271"/>
      <c r="D218" s="353" t="s">
        <v>406</v>
      </c>
      <c r="E218" s="271"/>
      <c r="F218" s="271"/>
      <c r="G218" s="429">
        <v>4</v>
      </c>
      <c r="H218" s="354" t="s">
        <v>18</v>
      </c>
      <c r="I218" s="386">
        <v>0</v>
      </c>
      <c r="J218" s="273">
        <f t="shared" si="15"/>
        <v>0</v>
      </c>
      <c r="K218" s="274"/>
      <c r="L218" s="274"/>
      <c r="M218" s="269"/>
      <c r="N218" s="269"/>
      <c r="O218" s="269"/>
      <c r="P218" s="269"/>
      <c r="Q218" s="269"/>
      <c r="R218" s="269"/>
    </row>
    <row r="219" spans="2:18" s="262" customFormat="1" ht="15" customHeight="1" x14ac:dyDescent="0.2">
      <c r="B219" s="270">
        <f t="shared" si="16"/>
        <v>3</v>
      </c>
      <c r="C219" s="271"/>
      <c r="D219" s="353" t="s">
        <v>407</v>
      </c>
      <c r="E219" s="271"/>
      <c r="F219" s="271"/>
      <c r="G219" s="429">
        <v>3</v>
      </c>
      <c r="H219" s="354" t="s">
        <v>18</v>
      </c>
      <c r="I219" s="386">
        <v>0</v>
      </c>
      <c r="J219" s="273">
        <f t="shared" si="15"/>
        <v>0</v>
      </c>
      <c r="K219" s="274"/>
      <c r="L219" s="274"/>
      <c r="M219" s="269"/>
      <c r="N219" s="269"/>
      <c r="O219" s="269"/>
      <c r="P219" s="269"/>
      <c r="Q219" s="269"/>
      <c r="R219" s="269"/>
    </row>
    <row r="220" spans="2:18" s="262" customFormat="1" ht="15" customHeight="1" x14ac:dyDescent="0.2">
      <c r="B220" s="270">
        <f t="shared" si="16"/>
        <v>4</v>
      </c>
      <c r="C220" s="271"/>
      <c r="D220" s="353" t="s">
        <v>408</v>
      </c>
      <c r="E220" s="271"/>
      <c r="F220" s="271"/>
      <c r="G220" s="429">
        <v>1</v>
      </c>
      <c r="H220" s="354" t="s">
        <v>18</v>
      </c>
      <c r="I220" s="386">
        <v>0</v>
      </c>
      <c r="J220" s="273">
        <f>G220*I220</f>
        <v>0</v>
      </c>
      <c r="K220" s="274"/>
      <c r="L220" s="274"/>
      <c r="M220" s="269"/>
      <c r="N220" s="269"/>
      <c r="O220" s="269"/>
      <c r="P220" s="269"/>
      <c r="Q220" s="269"/>
      <c r="R220" s="269"/>
    </row>
    <row r="221" spans="2:18" s="262" customFormat="1" ht="15" customHeight="1" x14ac:dyDescent="0.2">
      <c r="B221" s="356">
        <v>6</v>
      </c>
      <c r="C221" s="357"/>
      <c r="D221" s="430" t="s">
        <v>409</v>
      </c>
      <c r="E221" s="357"/>
      <c r="F221" s="357"/>
      <c r="G221" s="431">
        <f>G219</f>
        <v>3</v>
      </c>
      <c r="H221" s="432" t="s">
        <v>18</v>
      </c>
      <c r="I221" s="386">
        <v>0</v>
      </c>
      <c r="J221" s="358">
        <f t="shared" si="15"/>
        <v>0</v>
      </c>
      <c r="K221" s="274"/>
      <c r="L221" s="274"/>
      <c r="M221" s="269"/>
      <c r="N221" s="269"/>
      <c r="O221" s="269"/>
      <c r="P221" s="269"/>
      <c r="Q221" s="269"/>
      <c r="R221" s="269"/>
    </row>
    <row r="222" spans="2:18" s="262" customFormat="1" ht="15" customHeight="1" x14ac:dyDescent="0.2">
      <c r="B222" s="270">
        <f t="shared" si="16"/>
        <v>7</v>
      </c>
      <c r="C222" s="271"/>
      <c r="D222" s="353" t="s">
        <v>274</v>
      </c>
      <c r="E222" s="271"/>
      <c r="F222" s="271"/>
      <c r="G222" s="429">
        <f>27.3+1.5+3</f>
        <v>31.8</v>
      </c>
      <c r="H222" s="354" t="s">
        <v>19</v>
      </c>
      <c r="I222" s="386">
        <v>0</v>
      </c>
      <c r="J222" s="273">
        <f t="shared" si="15"/>
        <v>0</v>
      </c>
      <c r="K222" s="274"/>
      <c r="L222" s="274"/>
      <c r="M222" s="269"/>
      <c r="N222" s="269"/>
      <c r="O222" s="269"/>
      <c r="P222" s="269"/>
      <c r="Q222" s="269"/>
      <c r="R222" s="269"/>
    </row>
    <row r="223" spans="2:18" s="262" customFormat="1" ht="15" customHeight="1" x14ac:dyDescent="0.2">
      <c r="B223" s="270">
        <f t="shared" si="16"/>
        <v>8</v>
      </c>
      <c r="C223" s="271"/>
      <c r="D223" s="353" t="s">
        <v>279</v>
      </c>
      <c r="E223" s="271"/>
      <c r="F223" s="271"/>
      <c r="G223" s="429">
        <f>15.6+1.5+2+2.6+6</f>
        <v>27.700000000000003</v>
      </c>
      <c r="H223" s="354" t="s">
        <v>19</v>
      </c>
      <c r="I223" s="386">
        <v>0</v>
      </c>
      <c r="J223" s="273">
        <f t="shared" si="15"/>
        <v>0</v>
      </c>
      <c r="K223" s="274"/>
      <c r="L223" s="274"/>
      <c r="M223" s="269"/>
      <c r="N223" s="269"/>
      <c r="O223" s="269"/>
      <c r="P223" s="269"/>
      <c r="Q223" s="269"/>
      <c r="R223" s="269"/>
    </row>
    <row r="224" spans="2:18" s="262" customFormat="1" ht="15" customHeight="1" x14ac:dyDescent="0.2">
      <c r="B224" s="270">
        <f t="shared" si="16"/>
        <v>9</v>
      </c>
      <c r="C224" s="271"/>
      <c r="D224" s="353" t="s">
        <v>280</v>
      </c>
      <c r="E224" s="271"/>
      <c r="F224" s="271"/>
      <c r="G224" s="429">
        <f>27.3+12</f>
        <v>39.299999999999997</v>
      </c>
      <c r="H224" s="354" t="s">
        <v>29</v>
      </c>
      <c r="I224" s="386">
        <v>0</v>
      </c>
      <c r="J224" s="273">
        <f t="shared" si="15"/>
        <v>0</v>
      </c>
      <c r="K224" s="274"/>
      <c r="L224" s="274"/>
      <c r="M224" s="269"/>
      <c r="N224" s="269"/>
      <c r="O224" s="269"/>
      <c r="P224" s="269"/>
      <c r="Q224" s="269"/>
      <c r="R224" s="269"/>
    </row>
    <row r="225" spans="2:18" s="262" customFormat="1" ht="15" customHeight="1" x14ac:dyDescent="0.2">
      <c r="B225" s="270">
        <f t="shared" si="16"/>
        <v>10</v>
      </c>
      <c r="C225" s="271"/>
      <c r="D225" s="353" t="s">
        <v>275</v>
      </c>
      <c r="E225" s="271"/>
      <c r="F225" s="271"/>
      <c r="G225" s="429">
        <v>4</v>
      </c>
      <c r="H225" s="354" t="s">
        <v>19</v>
      </c>
      <c r="I225" s="386">
        <v>0</v>
      </c>
      <c r="J225" s="273">
        <f t="shared" si="15"/>
        <v>0</v>
      </c>
      <c r="K225" s="274"/>
      <c r="L225" s="268"/>
      <c r="M225" s="269"/>
      <c r="N225" s="269"/>
      <c r="O225" s="269"/>
      <c r="P225" s="269"/>
      <c r="Q225" s="269"/>
      <c r="R225" s="269"/>
    </row>
    <row r="226" spans="2:18" s="262" customFormat="1" ht="15" customHeight="1" x14ac:dyDescent="0.2">
      <c r="B226" s="270">
        <f t="shared" si="16"/>
        <v>11</v>
      </c>
      <c r="C226" s="271"/>
      <c r="D226" s="353" t="s">
        <v>410</v>
      </c>
      <c r="E226" s="271"/>
      <c r="F226" s="271"/>
      <c r="G226" s="429">
        <v>4</v>
      </c>
      <c r="H226" s="354" t="s">
        <v>18</v>
      </c>
      <c r="I226" s="386">
        <v>0</v>
      </c>
      <c r="J226" s="273">
        <f t="shared" si="15"/>
        <v>0</v>
      </c>
      <c r="K226" s="268"/>
      <c r="L226" s="274"/>
      <c r="M226" s="269"/>
      <c r="N226" s="269"/>
      <c r="O226" s="269"/>
      <c r="P226" s="269"/>
      <c r="Q226" s="269"/>
      <c r="R226" s="269"/>
    </row>
    <row r="227" spans="2:18" s="262" customFormat="1" ht="15" customHeight="1" x14ac:dyDescent="0.2">
      <c r="B227" s="270">
        <f t="shared" si="16"/>
        <v>12</v>
      </c>
      <c r="C227" s="271"/>
      <c r="D227" s="353" t="s">
        <v>440</v>
      </c>
      <c r="E227" s="271"/>
      <c r="F227" s="271"/>
      <c r="G227" s="429">
        <v>2</v>
      </c>
      <c r="H227" s="354" t="s">
        <v>29</v>
      </c>
      <c r="I227" s="386">
        <v>0</v>
      </c>
      <c r="J227" s="273">
        <f t="shared" si="15"/>
        <v>0</v>
      </c>
      <c r="K227" s="274"/>
      <c r="L227" s="274"/>
      <c r="M227" s="269"/>
      <c r="N227" s="269"/>
      <c r="O227" s="269"/>
      <c r="P227" s="269"/>
      <c r="Q227" s="269"/>
      <c r="R227" s="269"/>
    </row>
    <row r="228" spans="2:18" s="262" customFormat="1" ht="15" customHeight="1" x14ac:dyDescent="0.2">
      <c r="B228" s="270">
        <f t="shared" si="16"/>
        <v>13</v>
      </c>
      <c r="C228" s="271"/>
      <c r="D228" s="353" t="s">
        <v>441</v>
      </c>
      <c r="E228" s="271"/>
      <c r="F228" s="271"/>
      <c r="G228" s="429">
        <v>2</v>
      </c>
      <c r="H228" s="354" t="s">
        <v>29</v>
      </c>
      <c r="I228" s="386">
        <v>0</v>
      </c>
      <c r="J228" s="273">
        <f t="shared" ref="J228" si="17">G228*I228</f>
        <v>0</v>
      </c>
      <c r="K228" s="274"/>
      <c r="L228" s="274"/>
      <c r="M228" s="269"/>
      <c r="N228" s="269"/>
      <c r="O228" s="269"/>
      <c r="P228" s="269"/>
      <c r="Q228" s="269"/>
      <c r="R228" s="269"/>
    </row>
    <row r="229" spans="2:18" s="262" customFormat="1" ht="15" customHeight="1" thickBot="1" x14ac:dyDescent="0.25">
      <c r="B229" s="270"/>
      <c r="C229" s="271"/>
      <c r="D229" s="353"/>
      <c r="E229" s="271"/>
      <c r="F229" s="271"/>
      <c r="G229" s="429"/>
      <c r="H229" s="354"/>
      <c r="I229" s="272"/>
      <c r="J229" s="273"/>
      <c r="K229" s="274"/>
      <c r="L229" s="274"/>
      <c r="M229" s="269"/>
      <c r="N229" s="269"/>
      <c r="O229" s="269"/>
      <c r="P229" s="269"/>
      <c r="Q229" s="269"/>
      <c r="R229" s="269"/>
    </row>
    <row r="230" spans="2:18" s="262" customFormat="1" ht="15" customHeight="1" x14ac:dyDescent="0.2">
      <c r="B230" s="495"/>
      <c r="C230" s="496"/>
      <c r="D230" s="496"/>
      <c r="E230" s="496"/>
      <c r="F230" s="496"/>
      <c r="G230" s="496"/>
      <c r="H230" s="497"/>
      <c r="I230" s="456" t="s">
        <v>165</v>
      </c>
      <c r="J230" s="457">
        <f>SUM(J217:J229)</f>
        <v>0</v>
      </c>
      <c r="K230" s="274"/>
      <c r="L230" s="274"/>
      <c r="M230" s="269"/>
      <c r="N230" s="269"/>
      <c r="O230" s="269"/>
      <c r="P230" s="269"/>
      <c r="Q230" s="269"/>
      <c r="R230" s="269"/>
    </row>
    <row r="231" spans="2:18" ht="15" customHeight="1" x14ac:dyDescent="0.2">
      <c r="B231" s="334"/>
      <c r="C231" s="335"/>
      <c r="D231" s="302" t="s">
        <v>261</v>
      </c>
      <c r="E231" s="335"/>
      <c r="F231" s="335"/>
      <c r="G231" s="336"/>
      <c r="H231" s="337"/>
      <c r="I231" s="338"/>
      <c r="J231" s="339"/>
    </row>
    <row r="232" spans="2:18" ht="15" customHeight="1" x14ac:dyDescent="0.2">
      <c r="B232" s="270">
        <v>1</v>
      </c>
      <c r="C232" s="271"/>
      <c r="D232" s="353" t="str">
        <f>D217</f>
        <v>Pek. Pas. Kloset Duduk, Toto CW6307 TC2825SJ</v>
      </c>
      <c r="E232" s="271"/>
      <c r="F232" s="271"/>
      <c r="G232" s="429">
        <v>3</v>
      </c>
      <c r="H232" s="354" t="s">
        <v>18</v>
      </c>
      <c r="I232" s="386">
        <v>0</v>
      </c>
      <c r="J232" s="273">
        <f t="shared" ref="J232:J241" si="18">G232*I232</f>
        <v>0</v>
      </c>
    </row>
    <row r="233" spans="2:18" ht="15" customHeight="1" x14ac:dyDescent="0.2">
      <c r="B233" s="270">
        <v>2</v>
      </c>
      <c r="C233" s="271"/>
      <c r="D233" s="353" t="s">
        <v>411</v>
      </c>
      <c r="E233" s="271"/>
      <c r="F233" s="271"/>
      <c r="G233" s="429">
        <v>1</v>
      </c>
      <c r="H233" s="354" t="s">
        <v>18</v>
      </c>
      <c r="I233" s="386">
        <v>0</v>
      </c>
      <c r="J233" s="273">
        <f>G233*I233</f>
        <v>0</v>
      </c>
    </row>
    <row r="234" spans="2:18" ht="15" customHeight="1" x14ac:dyDescent="0.2">
      <c r="B234" s="270">
        <v>3</v>
      </c>
      <c r="C234" s="271"/>
      <c r="D234" s="353" t="str">
        <f>D218</f>
        <v>Pek. Pas. Hand Spray, Toto TX403SMCRB</v>
      </c>
      <c r="E234" s="271"/>
      <c r="F234" s="271"/>
      <c r="G234" s="429">
        <v>3</v>
      </c>
      <c r="H234" s="354" t="s">
        <v>18</v>
      </c>
      <c r="I234" s="386">
        <v>0</v>
      </c>
      <c r="J234" s="273">
        <f t="shared" si="18"/>
        <v>0</v>
      </c>
    </row>
    <row r="235" spans="2:18" ht="15" customHeight="1" x14ac:dyDescent="0.2">
      <c r="B235" s="270">
        <v>4</v>
      </c>
      <c r="C235" s="271"/>
      <c r="D235" s="353" t="str">
        <f>D219</f>
        <v>Pek. Pas. Wastafel, Toto LW236CJ</v>
      </c>
      <c r="E235" s="271"/>
      <c r="F235" s="271"/>
      <c r="G235" s="429">
        <v>2</v>
      </c>
      <c r="H235" s="354" t="s">
        <v>18</v>
      </c>
      <c r="I235" s="386">
        <v>0</v>
      </c>
      <c r="J235" s="273">
        <f t="shared" si="18"/>
        <v>0</v>
      </c>
    </row>
    <row r="236" spans="2:18" ht="15" customHeight="1" x14ac:dyDescent="0.2">
      <c r="B236" s="270">
        <v>5</v>
      </c>
      <c r="C236" s="271"/>
      <c r="D236" s="353" t="str">
        <f>D220</f>
        <v>Pek. Pas. Urinoir, Toto UP447JNM (Moslem Type) TX501U</v>
      </c>
      <c r="E236" s="271"/>
      <c r="F236" s="271"/>
      <c r="G236" s="429">
        <f>G220</f>
        <v>1</v>
      </c>
      <c r="H236" s="354" t="s">
        <v>18</v>
      </c>
      <c r="I236" s="386">
        <v>0</v>
      </c>
      <c r="J236" s="273">
        <f t="shared" si="18"/>
        <v>0</v>
      </c>
    </row>
    <row r="237" spans="2:18" ht="15" customHeight="1" x14ac:dyDescent="0.2">
      <c r="B237" s="270">
        <v>6</v>
      </c>
      <c r="C237" s="271"/>
      <c r="D237" s="353" t="str">
        <f>D221</f>
        <v>Pek. Pas. Keran Air Wastafel, Toto TX109LRR</v>
      </c>
      <c r="E237" s="271"/>
      <c r="F237" s="271"/>
      <c r="G237" s="429">
        <f>+G235</f>
        <v>2</v>
      </c>
      <c r="H237" s="354" t="s">
        <v>18</v>
      </c>
      <c r="I237" s="386">
        <v>0</v>
      </c>
      <c r="J237" s="273">
        <f t="shared" si="18"/>
        <v>0</v>
      </c>
    </row>
    <row r="238" spans="2:18" ht="13.7" customHeight="1" x14ac:dyDescent="0.2">
      <c r="B238" s="270">
        <v>7</v>
      </c>
      <c r="C238" s="271"/>
      <c r="D238" s="353" t="s">
        <v>274</v>
      </c>
      <c r="E238" s="271"/>
      <c r="F238" s="271"/>
      <c r="G238" s="429">
        <f>11.5+3+3+1.5+1.5+4</f>
        <v>24.5</v>
      </c>
      <c r="H238" s="354" t="s">
        <v>19</v>
      </c>
      <c r="I238" s="386">
        <v>0</v>
      </c>
      <c r="J238" s="273">
        <f t="shared" si="18"/>
        <v>0</v>
      </c>
    </row>
    <row r="239" spans="2:18" ht="13.7" customHeight="1" x14ac:dyDescent="0.2">
      <c r="B239" s="270">
        <v>8</v>
      </c>
      <c r="C239" s="271"/>
      <c r="D239" s="353" t="s">
        <v>279</v>
      </c>
      <c r="E239" s="271"/>
      <c r="F239" s="271"/>
      <c r="G239" s="429">
        <f>8.6+2.6+1.5+4</f>
        <v>16.7</v>
      </c>
      <c r="H239" s="354" t="s">
        <v>19</v>
      </c>
      <c r="I239" s="386">
        <v>0</v>
      </c>
      <c r="J239" s="273">
        <f t="shared" si="18"/>
        <v>0</v>
      </c>
    </row>
    <row r="240" spans="2:18" ht="13.7" customHeight="1" x14ac:dyDescent="0.2">
      <c r="B240" s="270">
        <v>9</v>
      </c>
      <c r="C240" s="271"/>
      <c r="D240" s="353" t="s">
        <v>275</v>
      </c>
      <c r="E240" s="271"/>
      <c r="F240" s="271"/>
      <c r="G240" s="429">
        <f>5.3+1.4+2.6+4</f>
        <v>13.299999999999999</v>
      </c>
      <c r="H240" s="354" t="s">
        <v>19</v>
      </c>
      <c r="I240" s="386">
        <v>0</v>
      </c>
      <c r="J240" s="273">
        <f t="shared" si="18"/>
        <v>0</v>
      </c>
    </row>
    <row r="241" spans="2:12" ht="13.7" customHeight="1" x14ac:dyDescent="0.2">
      <c r="B241" s="270">
        <v>10</v>
      </c>
      <c r="C241" s="271"/>
      <c r="D241" s="353" t="str">
        <f>D226</f>
        <v>Pek. Pas. Floor Drain Stainless Steel, Toto TX1DBV1</v>
      </c>
      <c r="E241" s="271"/>
      <c r="F241" s="271"/>
      <c r="G241" s="429">
        <v>3</v>
      </c>
      <c r="H241" s="354" t="s">
        <v>18</v>
      </c>
      <c r="I241" s="386">
        <v>0</v>
      </c>
      <c r="J241" s="273">
        <f t="shared" si="18"/>
        <v>0</v>
      </c>
    </row>
    <row r="242" spans="2:12" ht="13.7" customHeight="1" thickBot="1" x14ac:dyDescent="0.25">
      <c r="B242" s="270"/>
      <c r="C242" s="271"/>
      <c r="D242" s="353"/>
      <c r="E242" s="271"/>
      <c r="F242" s="271"/>
      <c r="G242" s="429"/>
      <c r="H242" s="354"/>
      <c r="I242" s="272"/>
      <c r="J242" s="273"/>
      <c r="L242" s="112">
        <f>6.91+5.65</f>
        <v>12.56</v>
      </c>
    </row>
    <row r="243" spans="2:12" ht="13.7" customHeight="1" thickBot="1" x14ac:dyDescent="0.25">
      <c r="B243" s="495"/>
      <c r="C243" s="496"/>
      <c r="D243" s="496"/>
      <c r="E243" s="496"/>
      <c r="F243" s="496"/>
      <c r="G243" s="496"/>
      <c r="H243" s="497"/>
      <c r="I243" s="342" t="s">
        <v>165</v>
      </c>
      <c r="J243" s="343">
        <f>SUM(J232:J242)</f>
        <v>0</v>
      </c>
      <c r="L243" s="112">
        <f>+L242*5</f>
        <v>62.800000000000004</v>
      </c>
    </row>
    <row r="244" spans="2:12" ht="13.7" customHeight="1" x14ac:dyDescent="0.2">
      <c r="B244" s="397" t="s">
        <v>173</v>
      </c>
      <c r="C244" s="398"/>
      <c r="D244" s="399" t="s">
        <v>278</v>
      </c>
      <c r="E244" s="109"/>
      <c r="F244" s="109"/>
      <c r="G244" s="406"/>
      <c r="H244" s="400"/>
      <c r="I244" s="401"/>
      <c r="J244" s="389"/>
      <c r="L244" s="112" t="s">
        <v>193</v>
      </c>
    </row>
    <row r="245" spans="2:12" ht="13.7" customHeight="1" x14ac:dyDescent="0.2">
      <c r="B245" s="340"/>
      <c r="C245" s="355"/>
      <c r="D245" s="282" t="s">
        <v>262</v>
      </c>
      <c r="E245" s="243"/>
      <c r="F245" s="243"/>
      <c r="G245" s="261"/>
      <c r="H245" s="245"/>
      <c r="I245" s="240"/>
      <c r="J245" s="246"/>
    </row>
    <row r="246" spans="2:12" ht="13.7" customHeight="1" x14ac:dyDescent="0.2">
      <c r="B246" s="340">
        <v>1</v>
      </c>
      <c r="C246" s="355">
        <f>C244+1</f>
        <v>1</v>
      </c>
      <c r="D246" s="353" t="s">
        <v>335</v>
      </c>
      <c r="E246" s="243"/>
      <c r="F246" s="243"/>
      <c r="G246" s="261">
        <f>G247+G250+G252+G253+G254+G255+G257</f>
        <v>104</v>
      </c>
      <c r="H246" s="354" t="s">
        <v>159</v>
      </c>
      <c r="I246" s="386">
        <v>0</v>
      </c>
      <c r="J246" s="246">
        <f>I246*G246</f>
        <v>0</v>
      </c>
    </row>
    <row r="247" spans="2:12" ht="13.7" customHeight="1" x14ac:dyDescent="0.2">
      <c r="B247" s="340">
        <v>2</v>
      </c>
      <c r="C247" s="355"/>
      <c r="D247" s="353" t="s">
        <v>336</v>
      </c>
      <c r="E247" s="243"/>
      <c r="F247" s="243"/>
      <c r="G247" s="261">
        <v>5</v>
      </c>
      <c r="H247" s="354" t="s">
        <v>159</v>
      </c>
      <c r="I247" s="386">
        <v>0</v>
      </c>
      <c r="J247" s="246">
        <f>I247*G247</f>
        <v>0</v>
      </c>
    </row>
    <row r="248" spans="2:12" ht="13.7" customHeight="1" x14ac:dyDescent="0.2">
      <c r="B248" s="340">
        <v>3</v>
      </c>
      <c r="C248" s="355"/>
      <c r="D248" s="353" t="s">
        <v>412</v>
      </c>
      <c r="E248" s="243"/>
      <c r="F248" s="243"/>
      <c r="G248" s="261">
        <v>18</v>
      </c>
      <c r="H248" s="354" t="s">
        <v>18</v>
      </c>
      <c r="I248" s="386">
        <v>0</v>
      </c>
      <c r="J248" s="246">
        <f>I248*G248</f>
        <v>0</v>
      </c>
    </row>
    <row r="249" spans="2:12" ht="13.7" customHeight="1" x14ac:dyDescent="0.2">
      <c r="B249" s="340">
        <v>4</v>
      </c>
      <c r="C249" s="355"/>
      <c r="D249" s="353" t="s">
        <v>413</v>
      </c>
      <c r="E249" s="243"/>
      <c r="F249" s="243"/>
      <c r="G249" s="261">
        <v>8</v>
      </c>
      <c r="H249" s="354" t="s">
        <v>18</v>
      </c>
      <c r="I249" s="386">
        <v>0</v>
      </c>
      <c r="J249" s="246">
        <f>I249*G249</f>
        <v>0</v>
      </c>
    </row>
    <row r="250" spans="2:12" ht="13.7" customHeight="1" x14ac:dyDescent="0.2">
      <c r="B250" s="340">
        <v>5</v>
      </c>
      <c r="C250" s="355"/>
      <c r="D250" s="353" t="s">
        <v>414</v>
      </c>
      <c r="E250" s="243"/>
      <c r="F250" s="243"/>
      <c r="G250" s="261">
        <v>24</v>
      </c>
      <c r="H250" s="354" t="s">
        <v>18</v>
      </c>
      <c r="I250" s="386">
        <v>0</v>
      </c>
      <c r="J250" s="246">
        <f t="shared" ref="J250:J262" si="19">I250*G250</f>
        <v>0</v>
      </c>
    </row>
    <row r="251" spans="2:12" ht="13.7" customHeight="1" x14ac:dyDescent="0.2">
      <c r="B251" s="340">
        <v>6</v>
      </c>
      <c r="C251" s="355"/>
      <c r="D251" s="353" t="s">
        <v>415</v>
      </c>
      <c r="E251" s="243"/>
      <c r="F251" s="243"/>
      <c r="G251" s="261">
        <v>5</v>
      </c>
      <c r="H251" s="354" t="s">
        <v>18</v>
      </c>
      <c r="I251" s="386">
        <v>0</v>
      </c>
      <c r="J251" s="246">
        <f t="shared" si="19"/>
        <v>0</v>
      </c>
    </row>
    <row r="252" spans="2:12" ht="13.7" customHeight="1" x14ac:dyDescent="0.2">
      <c r="B252" s="340">
        <v>7</v>
      </c>
      <c r="C252" s="355"/>
      <c r="D252" s="353" t="s">
        <v>416</v>
      </c>
      <c r="E252" s="243"/>
      <c r="F252" s="243"/>
      <c r="G252" s="261">
        <v>4</v>
      </c>
      <c r="H252" s="354" t="s">
        <v>18</v>
      </c>
      <c r="I252" s="386">
        <v>0</v>
      </c>
      <c r="J252" s="246">
        <f t="shared" si="19"/>
        <v>0</v>
      </c>
    </row>
    <row r="253" spans="2:12" ht="13.7" customHeight="1" x14ac:dyDescent="0.2">
      <c r="B253" s="340">
        <v>8</v>
      </c>
      <c r="C253" s="355"/>
      <c r="D253" s="353" t="s">
        <v>418</v>
      </c>
      <c r="E253" s="243"/>
      <c r="F253" s="243"/>
      <c r="G253" s="261">
        <v>52</v>
      </c>
      <c r="H253" s="354" t="s">
        <v>18</v>
      </c>
      <c r="I253" s="386">
        <v>0</v>
      </c>
      <c r="J253" s="246">
        <f t="shared" si="19"/>
        <v>0</v>
      </c>
    </row>
    <row r="254" spans="2:12" ht="13.7" customHeight="1" x14ac:dyDescent="0.2">
      <c r="B254" s="340">
        <v>9</v>
      </c>
      <c r="C254" s="355"/>
      <c r="D254" s="353" t="s">
        <v>417</v>
      </c>
      <c r="E254" s="243"/>
      <c r="F254" s="243"/>
      <c r="G254" s="261">
        <v>11</v>
      </c>
      <c r="H254" s="354" t="s">
        <v>18</v>
      </c>
      <c r="I254" s="386">
        <v>0</v>
      </c>
      <c r="J254" s="246">
        <f t="shared" si="19"/>
        <v>0</v>
      </c>
    </row>
    <row r="255" spans="2:12" ht="13.7" customHeight="1" x14ac:dyDescent="0.2">
      <c r="B255" s="340">
        <v>10</v>
      </c>
      <c r="C255" s="355"/>
      <c r="D255" s="353" t="s">
        <v>333</v>
      </c>
      <c r="E255" s="243"/>
      <c r="F255" s="243"/>
      <c r="G255" s="261">
        <v>2</v>
      </c>
      <c r="H255" s="354" t="s">
        <v>18</v>
      </c>
      <c r="I255" s="386">
        <v>0</v>
      </c>
      <c r="J255" s="246">
        <f t="shared" si="19"/>
        <v>0</v>
      </c>
    </row>
    <row r="256" spans="2:12" ht="13.7" customHeight="1" x14ac:dyDescent="0.2">
      <c r="B256" s="340">
        <v>11</v>
      </c>
      <c r="C256" s="355"/>
      <c r="D256" s="353" t="s">
        <v>342</v>
      </c>
      <c r="E256" s="243"/>
      <c r="F256" s="243"/>
      <c r="G256" s="261">
        <v>68.5</v>
      </c>
      <c r="H256" s="354" t="s">
        <v>19</v>
      </c>
      <c r="I256" s="386">
        <v>0</v>
      </c>
      <c r="J256" s="246">
        <f t="shared" si="19"/>
        <v>0</v>
      </c>
    </row>
    <row r="257" spans="2:12" ht="13.7" customHeight="1" x14ac:dyDescent="0.2">
      <c r="B257" s="340">
        <v>12</v>
      </c>
      <c r="C257" s="355"/>
      <c r="D257" s="353" t="s">
        <v>341</v>
      </c>
      <c r="E257" s="243"/>
      <c r="F257" s="243"/>
      <c r="G257" s="261">
        <v>6</v>
      </c>
      <c r="H257" s="354" t="s">
        <v>18</v>
      </c>
      <c r="I257" s="386">
        <v>0</v>
      </c>
      <c r="J257" s="246">
        <f>I257*G257</f>
        <v>0</v>
      </c>
    </row>
    <row r="258" spans="2:12" ht="13.7" customHeight="1" x14ac:dyDescent="0.2">
      <c r="B258" s="340">
        <v>13</v>
      </c>
      <c r="C258" s="355"/>
      <c r="D258" s="353" t="s">
        <v>277</v>
      </c>
      <c r="E258" s="243"/>
      <c r="F258" s="243"/>
      <c r="G258" s="261">
        <v>1</v>
      </c>
      <c r="H258" s="354" t="s">
        <v>29</v>
      </c>
      <c r="I258" s="386">
        <v>0</v>
      </c>
      <c r="J258" s="246">
        <f t="shared" si="19"/>
        <v>0</v>
      </c>
    </row>
    <row r="259" spans="2:12" ht="13.7" customHeight="1" x14ac:dyDescent="0.2">
      <c r="B259" s="340">
        <v>14</v>
      </c>
      <c r="C259" s="355"/>
      <c r="D259" s="353" t="s">
        <v>419</v>
      </c>
      <c r="E259" s="243"/>
      <c r="F259" s="243"/>
      <c r="G259" s="261">
        <v>30</v>
      </c>
      <c r="H259" s="354" t="s">
        <v>19</v>
      </c>
      <c r="I259" s="386">
        <v>0</v>
      </c>
      <c r="J259" s="246">
        <f t="shared" si="19"/>
        <v>0</v>
      </c>
    </row>
    <row r="260" spans="2:12" ht="13.7" customHeight="1" x14ac:dyDescent="0.2">
      <c r="B260" s="340">
        <v>15</v>
      </c>
      <c r="C260" s="355"/>
      <c r="D260" s="353" t="s">
        <v>420</v>
      </c>
      <c r="E260" s="243"/>
      <c r="F260" s="243"/>
      <c r="G260" s="261">
        <v>20</v>
      </c>
      <c r="H260" s="354" t="s">
        <v>19</v>
      </c>
      <c r="I260" s="386">
        <v>0</v>
      </c>
      <c r="J260" s="246">
        <f t="shared" si="19"/>
        <v>0</v>
      </c>
    </row>
    <row r="261" spans="2:12" ht="13.7" customHeight="1" x14ac:dyDescent="0.2">
      <c r="B261" s="340">
        <v>16</v>
      </c>
      <c r="C261" s="355"/>
      <c r="D261" s="353" t="s">
        <v>421</v>
      </c>
      <c r="E261" s="243"/>
      <c r="F261" s="243"/>
      <c r="G261" s="261">
        <v>18</v>
      </c>
      <c r="H261" s="354" t="s">
        <v>19</v>
      </c>
      <c r="I261" s="386">
        <v>0</v>
      </c>
      <c r="J261" s="246">
        <f>I261*G261</f>
        <v>0</v>
      </c>
    </row>
    <row r="262" spans="2:12" ht="13.7" customHeight="1" x14ac:dyDescent="0.2">
      <c r="B262" s="340">
        <v>17</v>
      </c>
      <c r="C262" s="355"/>
      <c r="D262" s="353" t="s">
        <v>337</v>
      </c>
      <c r="E262" s="243"/>
      <c r="F262" s="243"/>
      <c r="G262" s="261">
        <v>1</v>
      </c>
      <c r="H262" s="354" t="s">
        <v>29</v>
      </c>
      <c r="I262" s="386">
        <v>0</v>
      </c>
      <c r="J262" s="246">
        <f t="shared" si="19"/>
        <v>0</v>
      </c>
    </row>
    <row r="263" spans="2:12" ht="13.7" customHeight="1" x14ac:dyDescent="0.2">
      <c r="B263" s="340">
        <v>18</v>
      </c>
      <c r="C263" s="355"/>
      <c r="D263" s="353" t="s">
        <v>338</v>
      </c>
      <c r="E263" s="243"/>
      <c r="F263" s="243"/>
      <c r="G263" s="261">
        <v>1</v>
      </c>
      <c r="H263" s="354" t="s">
        <v>29</v>
      </c>
      <c r="I263" s="386">
        <v>0</v>
      </c>
      <c r="J263" s="246">
        <f t="shared" ref="J263:J273" si="20">I263*G263</f>
        <v>0</v>
      </c>
    </row>
    <row r="264" spans="2:12" ht="13.7" customHeight="1" x14ac:dyDescent="0.2">
      <c r="B264" s="340">
        <v>19</v>
      </c>
      <c r="C264" s="355"/>
      <c r="D264" s="353" t="s">
        <v>339</v>
      </c>
      <c r="E264" s="243"/>
      <c r="F264" s="243"/>
      <c r="G264" s="261">
        <v>3</v>
      </c>
      <c r="H264" s="354" t="s">
        <v>29</v>
      </c>
      <c r="I264" s="386">
        <v>0</v>
      </c>
      <c r="J264" s="246">
        <f t="shared" si="20"/>
        <v>0</v>
      </c>
    </row>
    <row r="265" spans="2:12" ht="13.7" customHeight="1" x14ac:dyDescent="0.2">
      <c r="B265" s="340">
        <v>20</v>
      </c>
      <c r="C265" s="355"/>
      <c r="D265" s="353" t="s">
        <v>340</v>
      </c>
      <c r="E265" s="243"/>
      <c r="F265" s="243"/>
      <c r="G265" s="261">
        <v>1</v>
      </c>
      <c r="H265" s="354" t="s">
        <v>30</v>
      </c>
      <c r="I265" s="386">
        <v>0</v>
      </c>
      <c r="J265" s="246">
        <f t="shared" si="20"/>
        <v>0</v>
      </c>
    </row>
    <row r="266" spans="2:12" ht="13.7" customHeight="1" x14ac:dyDescent="0.2">
      <c r="B266" s="340">
        <v>21</v>
      </c>
      <c r="C266" s="355"/>
      <c r="D266" s="353" t="s">
        <v>343</v>
      </c>
      <c r="E266" s="243"/>
      <c r="F266" s="243"/>
      <c r="G266" s="261">
        <v>6</v>
      </c>
      <c r="H266" s="354" t="s">
        <v>159</v>
      </c>
      <c r="I266" s="386">
        <v>0</v>
      </c>
      <c r="J266" s="246">
        <f t="shared" si="20"/>
        <v>0</v>
      </c>
    </row>
    <row r="267" spans="2:12" ht="13.7" customHeight="1" x14ac:dyDescent="0.2">
      <c r="B267" s="340">
        <v>22</v>
      </c>
      <c r="C267" s="355"/>
      <c r="D267" s="353" t="s">
        <v>344</v>
      </c>
      <c r="E267" s="243"/>
      <c r="F267" s="243"/>
      <c r="G267" s="261">
        <v>10</v>
      </c>
      <c r="H267" s="354" t="s">
        <v>18</v>
      </c>
      <c r="I267" s="386">
        <v>0</v>
      </c>
      <c r="J267" s="246">
        <f t="shared" si="20"/>
        <v>0</v>
      </c>
      <c r="L267" s="459">
        <v>139</v>
      </c>
    </row>
    <row r="268" spans="2:12" ht="13.7" customHeight="1" x14ac:dyDescent="0.2">
      <c r="B268" s="340">
        <v>23</v>
      </c>
      <c r="C268" s="355"/>
      <c r="D268" s="353" t="s">
        <v>345</v>
      </c>
      <c r="E268" s="243"/>
      <c r="F268" s="243"/>
      <c r="G268" s="261">
        <v>8</v>
      </c>
      <c r="H268" s="354" t="s">
        <v>159</v>
      </c>
      <c r="I268" s="386">
        <v>0</v>
      </c>
      <c r="J268" s="246">
        <f t="shared" si="20"/>
        <v>0</v>
      </c>
    </row>
    <row r="269" spans="2:12" ht="13.7" customHeight="1" x14ac:dyDescent="0.2">
      <c r="B269" s="340">
        <v>24</v>
      </c>
      <c r="C269" s="355"/>
      <c r="D269" s="353" t="s">
        <v>346</v>
      </c>
      <c r="E269" s="243"/>
      <c r="F269" s="243"/>
      <c r="G269" s="261">
        <v>1</v>
      </c>
      <c r="H269" s="354" t="s">
        <v>159</v>
      </c>
      <c r="I269" s="386">
        <v>0</v>
      </c>
      <c r="J269" s="246">
        <f t="shared" si="20"/>
        <v>0</v>
      </c>
    </row>
    <row r="270" spans="2:12" ht="13.7" customHeight="1" x14ac:dyDescent="0.2">
      <c r="B270" s="340">
        <v>25</v>
      </c>
      <c r="C270" s="355"/>
      <c r="D270" s="353" t="s">
        <v>347</v>
      </c>
      <c r="E270" s="243"/>
      <c r="F270" s="243"/>
      <c r="G270" s="261">
        <v>2</v>
      </c>
      <c r="H270" s="354" t="s">
        <v>159</v>
      </c>
      <c r="I270" s="386">
        <v>0</v>
      </c>
      <c r="J270" s="246">
        <f t="shared" si="20"/>
        <v>0</v>
      </c>
    </row>
    <row r="271" spans="2:12" ht="13.7" customHeight="1" x14ac:dyDescent="0.2">
      <c r="B271" s="340">
        <v>26</v>
      </c>
      <c r="C271" s="355"/>
      <c r="D271" s="353" t="s">
        <v>379</v>
      </c>
      <c r="E271" s="243"/>
      <c r="F271" s="243"/>
      <c r="G271" s="261">
        <v>1</v>
      </c>
      <c r="H271" s="354" t="s">
        <v>30</v>
      </c>
      <c r="I271" s="386">
        <v>0</v>
      </c>
      <c r="J271" s="246">
        <f t="shared" si="20"/>
        <v>0</v>
      </c>
    </row>
    <row r="272" spans="2:12" ht="13.7" customHeight="1" x14ac:dyDescent="0.2">
      <c r="B272" s="340">
        <v>27</v>
      </c>
      <c r="C272" s="355"/>
      <c r="D272" s="353" t="s">
        <v>348</v>
      </c>
      <c r="E272" s="243"/>
      <c r="F272" s="243"/>
      <c r="G272" s="261">
        <v>1</v>
      </c>
      <c r="H272" s="354" t="s">
        <v>30</v>
      </c>
      <c r="I272" s="386">
        <v>0</v>
      </c>
      <c r="J272" s="246">
        <f t="shared" si="20"/>
        <v>0</v>
      </c>
    </row>
    <row r="273" spans="2:12" ht="13.7" customHeight="1" x14ac:dyDescent="0.2">
      <c r="B273" s="340">
        <v>28</v>
      </c>
      <c r="C273" s="355"/>
      <c r="D273" s="353" t="s">
        <v>352</v>
      </c>
      <c r="E273" s="243"/>
      <c r="F273" s="243"/>
      <c r="G273" s="261">
        <v>1</v>
      </c>
      <c r="H273" s="354" t="s">
        <v>30</v>
      </c>
      <c r="I273" s="386">
        <v>0</v>
      </c>
      <c r="J273" s="246">
        <f t="shared" si="20"/>
        <v>0</v>
      </c>
    </row>
    <row r="274" spans="2:12" ht="13.7" customHeight="1" thickBot="1" x14ac:dyDescent="0.25">
      <c r="B274" s="340"/>
      <c r="C274" s="355"/>
      <c r="D274" s="353"/>
      <c r="E274" s="243"/>
      <c r="F274" s="243"/>
      <c r="G274" s="261"/>
      <c r="H274" s="354"/>
      <c r="I274" s="240"/>
      <c r="J274" s="246"/>
    </row>
    <row r="275" spans="2:12" ht="13.7" customHeight="1" thickBot="1" x14ac:dyDescent="0.25">
      <c r="B275" s="498"/>
      <c r="C275" s="499"/>
      <c r="D275" s="499"/>
      <c r="E275" s="499"/>
      <c r="F275" s="499"/>
      <c r="G275" s="499"/>
      <c r="H275" s="500"/>
      <c r="I275" s="414" t="s">
        <v>165</v>
      </c>
      <c r="J275" s="415">
        <f>SUM(J246:J274)</f>
        <v>0</v>
      </c>
    </row>
    <row r="276" spans="2:12" ht="13.7" customHeight="1" x14ac:dyDescent="0.2">
      <c r="B276" s="416"/>
      <c r="C276" s="416"/>
      <c r="D276" s="416"/>
      <c r="E276" s="416"/>
      <c r="F276" s="416"/>
      <c r="G276" s="416"/>
      <c r="H276" s="416"/>
      <c r="I276" s="352"/>
      <c r="J276" s="417"/>
    </row>
    <row r="277" spans="2:12" ht="13.7" customHeight="1" x14ac:dyDescent="0.2">
      <c r="B277" s="111"/>
      <c r="C277" s="111"/>
      <c r="D277" s="111"/>
      <c r="E277" s="111"/>
      <c r="F277" s="111"/>
      <c r="G277" s="111"/>
      <c r="H277" s="111"/>
      <c r="I277" s="106"/>
      <c r="J277" s="418"/>
      <c r="L277" s="112">
        <f>24.4+17.9+9.2+4.8</f>
        <v>56.3</v>
      </c>
    </row>
    <row r="278" spans="2:12" ht="13.7" customHeight="1" x14ac:dyDescent="0.2">
      <c r="B278" s="111"/>
      <c r="C278" s="111"/>
      <c r="D278" s="111"/>
      <c r="E278" s="111"/>
      <c r="F278" s="111"/>
      <c r="G278" s="111"/>
      <c r="H278" s="111"/>
      <c r="I278" s="106"/>
      <c r="J278" s="418"/>
      <c r="L278" s="112">
        <f>+L242*3</f>
        <v>37.68</v>
      </c>
    </row>
    <row r="279" spans="2:12" ht="13.7" customHeight="1" x14ac:dyDescent="0.2">
      <c r="B279" s="111"/>
      <c r="C279" s="111"/>
      <c r="D279" s="111"/>
      <c r="E279" s="111"/>
      <c r="F279" s="111"/>
      <c r="G279" s="111"/>
      <c r="H279" s="111"/>
      <c r="I279" s="106"/>
      <c r="J279" s="418"/>
    </row>
    <row r="280" spans="2:12" ht="13.7" customHeight="1" x14ac:dyDescent="0.2">
      <c r="B280" s="111"/>
      <c r="C280" s="111"/>
      <c r="D280" s="111"/>
      <c r="E280" s="111"/>
      <c r="F280" s="111"/>
      <c r="G280" s="111"/>
      <c r="H280" s="111"/>
      <c r="I280" s="106"/>
      <c r="J280" s="418"/>
    </row>
    <row r="281" spans="2:12" ht="13.7" customHeight="1" x14ac:dyDescent="0.2">
      <c r="B281" s="111"/>
      <c r="C281" s="111"/>
      <c r="D281" s="111"/>
      <c r="E281" s="111"/>
      <c r="F281" s="111"/>
      <c r="G281" s="111"/>
      <c r="H281" s="111"/>
      <c r="I281" s="106"/>
      <c r="J281" s="418"/>
    </row>
    <row r="282" spans="2:12" ht="13.7" customHeight="1" x14ac:dyDescent="0.2">
      <c r="B282" s="111"/>
      <c r="C282" s="111"/>
      <c r="D282" s="111"/>
      <c r="E282" s="111"/>
      <c r="F282" s="111"/>
      <c r="G282" s="111"/>
      <c r="H282" s="111"/>
      <c r="I282" s="106"/>
      <c r="J282" s="418"/>
    </row>
    <row r="283" spans="2:12" ht="13.7" customHeight="1" x14ac:dyDescent="0.2">
      <c r="B283" s="111"/>
      <c r="C283" s="111"/>
      <c r="D283" s="111"/>
      <c r="E283" s="111"/>
      <c r="F283" s="111"/>
      <c r="G283" s="111"/>
      <c r="H283" s="111"/>
      <c r="I283" s="106"/>
      <c r="J283" s="418"/>
    </row>
    <row r="284" spans="2:12" ht="13.7" customHeight="1" x14ac:dyDescent="0.2">
      <c r="B284" s="111"/>
      <c r="C284" s="111"/>
      <c r="D284" s="111"/>
      <c r="E284" s="111"/>
      <c r="F284" s="111"/>
      <c r="G284" s="111"/>
      <c r="H284" s="111"/>
      <c r="I284" s="106"/>
      <c r="J284" s="418"/>
      <c r="L284" s="112">
        <v>850000</v>
      </c>
    </row>
    <row r="285" spans="2:12" ht="13.7" customHeight="1" x14ac:dyDescent="0.2">
      <c r="B285" s="111"/>
      <c r="C285" s="111"/>
      <c r="D285" s="111"/>
      <c r="E285" s="111"/>
      <c r="F285" s="111"/>
      <c r="G285" s="111"/>
      <c r="H285" s="111"/>
      <c r="I285" s="106"/>
      <c r="J285" s="418"/>
    </row>
    <row r="286" spans="2:12" ht="13.7" customHeight="1" x14ac:dyDescent="0.2">
      <c r="B286" s="111"/>
      <c r="C286" s="111"/>
      <c r="D286" s="111"/>
      <c r="E286" s="111"/>
      <c r="F286" s="111"/>
      <c r="G286" s="111"/>
      <c r="H286" s="111"/>
      <c r="I286" s="106"/>
      <c r="J286" s="418"/>
    </row>
    <row r="287" spans="2:12" ht="13.7" customHeight="1" x14ac:dyDescent="0.2">
      <c r="B287" s="111"/>
      <c r="C287" s="111"/>
      <c r="D287" s="111"/>
      <c r="E287" s="111"/>
      <c r="F287" s="111"/>
      <c r="G287" s="111"/>
      <c r="H287" s="111"/>
      <c r="I287" s="106"/>
      <c r="J287" s="418"/>
    </row>
    <row r="288" spans="2:12" ht="13.7" customHeight="1" x14ac:dyDescent="0.2">
      <c r="B288" s="408"/>
      <c r="C288" s="433"/>
      <c r="D288" s="302" t="s">
        <v>261</v>
      </c>
      <c r="E288" s="409"/>
      <c r="F288" s="409"/>
      <c r="G288" s="434"/>
      <c r="H288" s="411"/>
      <c r="I288" s="412"/>
      <c r="J288" s="350"/>
    </row>
    <row r="289" spans="1:13" ht="13.7" customHeight="1" x14ac:dyDescent="0.2">
      <c r="B289" s="340">
        <v>1</v>
      </c>
      <c r="C289" s="355">
        <f>C274+1</f>
        <v>1</v>
      </c>
      <c r="D289" s="353" t="s">
        <v>335</v>
      </c>
      <c r="E289" s="243"/>
      <c r="F289" s="243"/>
      <c r="G289" s="261">
        <f>G294+G293+G295+G296+G297+G299</f>
        <v>109</v>
      </c>
      <c r="H289" s="354" t="s">
        <v>159</v>
      </c>
      <c r="I289" s="386">
        <v>0</v>
      </c>
      <c r="J289" s="246">
        <f>I289*G289</f>
        <v>0</v>
      </c>
      <c r="L289" s="459">
        <f>+J309+L267</f>
        <v>139</v>
      </c>
    </row>
    <row r="290" spans="1:13" ht="13.7" customHeight="1" x14ac:dyDescent="0.2">
      <c r="B290" s="340">
        <v>2</v>
      </c>
      <c r="C290" s="355"/>
      <c r="D290" s="353" t="s">
        <v>336</v>
      </c>
      <c r="E290" s="243"/>
      <c r="F290" s="243"/>
      <c r="G290" s="261">
        <f>G294</f>
        <v>11</v>
      </c>
      <c r="H290" s="354" t="s">
        <v>159</v>
      </c>
      <c r="I290" s="386">
        <v>0</v>
      </c>
      <c r="J290" s="246">
        <f>I290*G290</f>
        <v>0</v>
      </c>
    </row>
    <row r="291" spans="1:13" ht="13.7" customHeight="1" x14ac:dyDescent="0.2">
      <c r="B291" s="340">
        <v>3</v>
      </c>
      <c r="C291" s="355"/>
      <c r="D291" s="353" t="str">
        <f t="shared" ref="D291:D296" si="21">D248</f>
        <v xml:space="preserve">Pek. Pas. Saklar Seri, Panasonic </v>
      </c>
      <c r="E291" s="243"/>
      <c r="F291" s="243"/>
      <c r="G291" s="261">
        <v>22</v>
      </c>
      <c r="H291" s="354" t="s">
        <v>18</v>
      </c>
      <c r="I291" s="386">
        <v>0</v>
      </c>
      <c r="J291" s="246">
        <f>I291*G291</f>
        <v>0</v>
      </c>
    </row>
    <row r="292" spans="1:13" ht="13.7" customHeight="1" x14ac:dyDescent="0.2">
      <c r="B292" s="340">
        <v>4</v>
      </c>
      <c r="C292" s="355"/>
      <c r="D292" s="353" t="str">
        <f t="shared" si="21"/>
        <v>Pek. Pas. Saklar Tunggal, Panasonic</v>
      </c>
      <c r="E292" s="243"/>
      <c r="F292" s="243"/>
      <c r="G292" s="261">
        <v>6</v>
      </c>
      <c r="H292" s="354" t="s">
        <v>18</v>
      </c>
      <c r="I292" s="386">
        <v>0</v>
      </c>
      <c r="J292" s="246">
        <f>I292*G292</f>
        <v>0</v>
      </c>
    </row>
    <row r="293" spans="1:13" ht="13.7" customHeight="1" x14ac:dyDescent="0.2">
      <c r="B293" s="340">
        <v>5</v>
      </c>
      <c r="C293" s="355"/>
      <c r="D293" s="353" t="str">
        <f t="shared" si="21"/>
        <v>Pek. Pas. Stop Kontak, Panasonic</v>
      </c>
      <c r="E293" s="243"/>
      <c r="F293" s="243"/>
      <c r="G293" s="261">
        <v>27</v>
      </c>
      <c r="H293" s="354" t="s">
        <v>18</v>
      </c>
      <c r="I293" s="386">
        <v>0</v>
      </c>
      <c r="J293" s="246">
        <f t="shared" ref="J293:J307" si="22">I293*G293</f>
        <v>0</v>
      </c>
    </row>
    <row r="294" spans="1:13" ht="13.7" customHeight="1" x14ac:dyDescent="0.2">
      <c r="B294" s="340">
        <v>6</v>
      </c>
      <c r="C294" s="355"/>
      <c r="D294" s="353" t="str">
        <f t="shared" si="21"/>
        <v>Pek. Pas. Stop Kontak AC, Panasonic</v>
      </c>
      <c r="E294" s="243"/>
      <c r="F294" s="243"/>
      <c r="G294" s="261">
        <f>+G300+G301</f>
        <v>11</v>
      </c>
      <c r="H294" s="354" t="s">
        <v>18</v>
      </c>
      <c r="I294" s="386">
        <v>0</v>
      </c>
      <c r="J294" s="246">
        <f t="shared" si="22"/>
        <v>0</v>
      </c>
      <c r="L294" s="405">
        <f>+G158</f>
        <v>112</v>
      </c>
    </row>
    <row r="295" spans="1:13" ht="13.7" customHeight="1" x14ac:dyDescent="0.2">
      <c r="B295" s="340">
        <v>7</v>
      </c>
      <c r="C295" s="355"/>
      <c r="D295" s="353" t="str">
        <f t="shared" si="21"/>
        <v xml:space="preserve">Pek. Exhoustfan, Panasonic </v>
      </c>
      <c r="E295" s="243"/>
      <c r="F295" s="243"/>
      <c r="G295" s="261">
        <v>3</v>
      </c>
      <c r="H295" s="354" t="s">
        <v>18</v>
      </c>
      <c r="I295" s="386">
        <v>0</v>
      </c>
      <c r="J295" s="246">
        <f t="shared" si="22"/>
        <v>0</v>
      </c>
      <c r="L295" s="112">
        <f>+L294*0.15</f>
        <v>16.8</v>
      </c>
    </row>
    <row r="296" spans="1:13" ht="13.7" customHeight="1" x14ac:dyDescent="0.2">
      <c r="B296" s="340">
        <v>8</v>
      </c>
      <c r="C296" s="355"/>
      <c r="D296" s="353" t="str">
        <f t="shared" si="21"/>
        <v>Pek. Pas. Lampu Downlight Led 12 Watt Lengkap Sarang Lampu, Panasonic</v>
      </c>
      <c r="E296" s="243"/>
      <c r="F296" s="243"/>
      <c r="G296" s="261">
        <v>51</v>
      </c>
      <c r="H296" s="354" t="s">
        <v>18</v>
      </c>
      <c r="I296" s="386">
        <v>0</v>
      </c>
      <c r="J296" s="246">
        <f t="shared" si="22"/>
        <v>0</v>
      </c>
      <c r="L296" s="405">
        <f>+G170</f>
        <v>67.199999999999989</v>
      </c>
    </row>
    <row r="297" spans="1:13" ht="15" customHeight="1" x14ac:dyDescent="0.2">
      <c r="B297" s="340">
        <v>9</v>
      </c>
      <c r="C297" s="355"/>
      <c r="D297" s="353" t="str">
        <f>+D254</f>
        <v>Pek. Lampu Rm, Lengkap Sarang Lampu, Luxindo</v>
      </c>
      <c r="E297" s="243"/>
      <c r="F297" s="243"/>
      <c r="G297" s="261">
        <v>8</v>
      </c>
      <c r="H297" s="354" t="s">
        <v>18</v>
      </c>
      <c r="I297" s="386">
        <v>0</v>
      </c>
      <c r="J297" s="246">
        <f t="shared" si="22"/>
        <v>0</v>
      </c>
      <c r="L297" s="112">
        <f>+L296*0.15</f>
        <v>10.079999999999998</v>
      </c>
    </row>
    <row r="298" spans="1:13" ht="15" customHeight="1" x14ac:dyDescent="0.2">
      <c r="A298" s="403"/>
      <c r="B298" s="340">
        <v>11</v>
      </c>
      <c r="C298" s="355"/>
      <c r="D298" s="353" t="s">
        <v>342</v>
      </c>
      <c r="E298" s="243"/>
      <c r="F298" s="243"/>
      <c r="G298" s="261">
        <v>117.4</v>
      </c>
      <c r="H298" s="354" t="s">
        <v>19</v>
      </c>
      <c r="I298" s="386">
        <v>0</v>
      </c>
      <c r="J298" s="246">
        <f t="shared" si="22"/>
        <v>0</v>
      </c>
      <c r="M298" s="298"/>
    </row>
    <row r="299" spans="1:13" ht="15" customHeight="1" x14ac:dyDescent="0.2">
      <c r="B299" s="340">
        <v>12</v>
      </c>
      <c r="C299" s="355"/>
      <c r="D299" s="353" t="s">
        <v>341</v>
      </c>
      <c r="E299" s="243"/>
      <c r="F299" s="243"/>
      <c r="G299" s="261">
        <v>9</v>
      </c>
      <c r="H299" s="354" t="s">
        <v>18</v>
      </c>
      <c r="I299" s="386">
        <v>0</v>
      </c>
      <c r="J299" s="246">
        <f t="shared" si="22"/>
        <v>0</v>
      </c>
    </row>
    <row r="300" spans="1:13" ht="15" customHeight="1" x14ac:dyDescent="0.2">
      <c r="B300" s="340">
        <v>13</v>
      </c>
      <c r="C300" s="355"/>
      <c r="D300" s="353" t="s">
        <v>338</v>
      </c>
      <c r="E300" s="243"/>
      <c r="F300" s="243"/>
      <c r="G300" s="261">
        <v>2</v>
      </c>
      <c r="H300" s="354" t="s">
        <v>29</v>
      </c>
      <c r="I300" s="386">
        <v>0</v>
      </c>
      <c r="J300" s="246">
        <f t="shared" si="22"/>
        <v>0</v>
      </c>
    </row>
    <row r="301" spans="1:13" ht="15" customHeight="1" x14ac:dyDescent="0.2">
      <c r="B301" s="408">
        <f>+B300+1</f>
        <v>14</v>
      </c>
      <c r="C301" s="433"/>
      <c r="D301" s="430" t="s">
        <v>339</v>
      </c>
      <c r="E301" s="409"/>
      <c r="F301" s="409"/>
      <c r="G301" s="434">
        <v>9</v>
      </c>
      <c r="H301" s="432" t="s">
        <v>29</v>
      </c>
      <c r="I301" s="386">
        <v>0</v>
      </c>
      <c r="J301" s="350">
        <f t="shared" si="22"/>
        <v>0</v>
      </c>
    </row>
    <row r="302" spans="1:13" ht="15" customHeight="1" x14ac:dyDescent="0.2">
      <c r="A302" s="395"/>
      <c r="B302" s="340">
        <f t="shared" ref="B302:B307" si="23">+B301+1</f>
        <v>15</v>
      </c>
      <c r="C302" s="355"/>
      <c r="D302" s="353" t="s">
        <v>340</v>
      </c>
      <c r="E302" s="243"/>
      <c r="F302" s="243"/>
      <c r="G302" s="261">
        <v>1</v>
      </c>
      <c r="H302" s="354" t="s">
        <v>30</v>
      </c>
      <c r="I302" s="386">
        <v>0</v>
      </c>
      <c r="J302" s="246">
        <f t="shared" si="22"/>
        <v>0</v>
      </c>
      <c r="L302" s="459">
        <f>+L289+J322</f>
        <v>139</v>
      </c>
      <c r="M302" s="244">
        <f>G96</f>
        <v>525.73399999999992</v>
      </c>
    </row>
    <row r="303" spans="1:13" ht="15" customHeight="1" x14ac:dyDescent="0.2">
      <c r="A303" s="403"/>
      <c r="B303" s="340">
        <f t="shared" si="23"/>
        <v>16</v>
      </c>
      <c r="C303" s="355"/>
      <c r="D303" s="353" t="s">
        <v>343</v>
      </c>
      <c r="E303" s="243"/>
      <c r="F303" s="243"/>
      <c r="G303" s="261">
        <v>10</v>
      </c>
      <c r="H303" s="354" t="s">
        <v>159</v>
      </c>
      <c r="I303" s="386">
        <v>0</v>
      </c>
      <c r="J303" s="246">
        <f t="shared" si="22"/>
        <v>0</v>
      </c>
    </row>
    <row r="304" spans="1:13" ht="15" customHeight="1" x14ac:dyDescent="0.2">
      <c r="B304" s="340">
        <f t="shared" si="23"/>
        <v>17</v>
      </c>
      <c r="C304" s="355"/>
      <c r="D304" s="353" t="s">
        <v>344</v>
      </c>
      <c r="E304" s="243"/>
      <c r="F304" s="243"/>
      <c r="G304" s="261">
        <v>20</v>
      </c>
      <c r="H304" s="354" t="s">
        <v>18</v>
      </c>
      <c r="I304" s="386">
        <v>0</v>
      </c>
      <c r="J304" s="246">
        <f t="shared" si="22"/>
        <v>0</v>
      </c>
    </row>
    <row r="305" spans="1:13" ht="15" customHeight="1" x14ac:dyDescent="0.2">
      <c r="B305" s="340">
        <f t="shared" si="23"/>
        <v>18</v>
      </c>
      <c r="C305" s="355"/>
      <c r="D305" s="353" t="s">
        <v>345</v>
      </c>
      <c r="E305" s="243"/>
      <c r="F305" s="243"/>
      <c r="G305" s="261">
        <v>6</v>
      </c>
      <c r="H305" s="354" t="s">
        <v>159</v>
      </c>
      <c r="I305" s="386">
        <v>0</v>
      </c>
      <c r="J305" s="246">
        <f t="shared" si="22"/>
        <v>0</v>
      </c>
    </row>
    <row r="306" spans="1:13" ht="15" customHeight="1" x14ac:dyDescent="0.2">
      <c r="A306" s="395"/>
      <c r="B306" s="340">
        <f t="shared" si="23"/>
        <v>19</v>
      </c>
      <c r="C306" s="355"/>
      <c r="D306" s="353" t="s">
        <v>346</v>
      </c>
      <c r="E306" s="243"/>
      <c r="F306" s="243"/>
      <c r="G306" s="261">
        <v>1</v>
      </c>
      <c r="H306" s="354" t="s">
        <v>159</v>
      </c>
      <c r="I306" s="386">
        <v>0</v>
      </c>
      <c r="J306" s="246">
        <f t="shared" si="22"/>
        <v>0</v>
      </c>
      <c r="M306" s="244">
        <f>G103</f>
        <v>725.6400000000001</v>
      </c>
    </row>
    <row r="307" spans="1:13" ht="15" customHeight="1" x14ac:dyDescent="0.2">
      <c r="A307" s="403"/>
      <c r="B307" s="340">
        <f t="shared" si="23"/>
        <v>20</v>
      </c>
      <c r="C307" s="355"/>
      <c r="D307" s="353" t="s">
        <v>347</v>
      </c>
      <c r="E307" s="243"/>
      <c r="F307" s="243"/>
      <c r="G307" s="261">
        <v>2</v>
      </c>
      <c r="H307" s="354" t="s">
        <v>159</v>
      </c>
      <c r="I307" s="386">
        <v>0</v>
      </c>
      <c r="J307" s="246">
        <f t="shared" si="22"/>
        <v>0</v>
      </c>
    </row>
    <row r="308" spans="1:13" ht="15" customHeight="1" thickBot="1" x14ac:dyDescent="0.25">
      <c r="A308" s="395"/>
      <c r="B308" s="340"/>
      <c r="C308" s="355"/>
      <c r="D308" s="353"/>
      <c r="E308" s="243"/>
      <c r="F308" s="243"/>
      <c r="G308" s="261"/>
      <c r="H308" s="354"/>
      <c r="I308" s="240"/>
      <c r="J308" s="246"/>
      <c r="M308" s="298"/>
    </row>
    <row r="309" spans="1:13" ht="15" customHeight="1" thickBot="1" x14ac:dyDescent="0.25">
      <c r="A309" s="395"/>
      <c r="B309" s="495"/>
      <c r="C309" s="496"/>
      <c r="D309" s="496"/>
      <c r="E309" s="496"/>
      <c r="F309" s="496"/>
      <c r="G309" s="496"/>
      <c r="H309" s="497"/>
      <c r="I309" s="342" t="s">
        <v>165</v>
      </c>
      <c r="J309" s="343">
        <f>SUM(J289:J308)</f>
        <v>0</v>
      </c>
      <c r="M309" s="298"/>
    </row>
    <row r="310" spans="1:13" ht="15" customHeight="1" x14ac:dyDescent="0.2">
      <c r="A310" s="395"/>
      <c r="B310" s="344" t="s">
        <v>174</v>
      </c>
      <c r="C310" s="345"/>
      <c r="D310" s="346" t="s">
        <v>49</v>
      </c>
      <c r="E310" s="347"/>
      <c r="F310" s="347"/>
      <c r="G310" s="407"/>
      <c r="H310" s="348"/>
      <c r="I310" s="349"/>
      <c r="J310" s="350"/>
      <c r="M310" s="298"/>
    </row>
    <row r="311" spans="1:13" ht="15" customHeight="1" x14ac:dyDescent="0.2">
      <c r="A311" s="395"/>
      <c r="B311" s="344"/>
      <c r="C311" s="345"/>
      <c r="D311" s="282" t="s">
        <v>262</v>
      </c>
      <c r="E311" s="347"/>
      <c r="F311" s="347"/>
      <c r="G311" s="407"/>
      <c r="H311" s="348"/>
      <c r="I311" s="349"/>
      <c r="J311" s="350"/>
      <c r="M311" s="298"/>
    </row>
    <row r="312" spans="1:13" ht="15" customHeight="1" x14ac:dyDescent="0.2">
      <c r="A312" s="395"/>
      <c r="B312" s="340">
        <v>1</v>
      </c>
      <c r="C312" s="243"/>
      <c r="D312" s="242" t="s">
        <v>375</v>
      </c>
      <c r="E312" s="243"/>
      <c r="F312" s="243"/>
      <c r="G312" s="244">
        <f>+G96-G313</f>
        <v>391.98399999999992</v>
      </c>
      <c r="H312" s="245" t="s">
        <v>26</v>
      </c>
      <c r="I312" s="386">
        <v>0</v>
      </c>
      <c r="J312" s="246">
        <f>G312*I312</f>
        <v>0</v>
      </c>
    </row>
    <row r="313" spans="1:13" ht="15.95" customHeight="1" x14ac:dyDescent="0.2">
      <c r="B313" s="340">
        <v>2</v>
      </c>
      <c r="C313" s="243"/>
      <c r="D313" s="242" t="s">
        <v>376</v>
      </c>
      <c r="E313" s="243"/>
      <c r="F313" s="243"/>
      <c r="G313" s="244">
        <f>+(75.8*3)-93.65</f>
        <v>133.74999999999997</v>
      </c>
      <c r="H313" s="245" t="s">
        <v>26</v>
      </c>
      <c r="I313" s="386">
        <v>0</v>
      </c>
      <c r="J313" s="246">
        <f>G313*I313</f>
        <v>0</v>
      </c>
      <c r="K313" s="105"/>
      <c r="L313" s="105"/>
    </row>
    <row r="314" spans="1:13" ht="15.95" customHeight="1" x14ac:dyDescent="0.2">
      <c r="B314" s="340">
        <v>3</v>
      </c>
      <c r="C314" s="435"/>
      <c r="D314" s="242" t="s">
        <v>367</v>
      </c>
      <c r="E314" s="243"/>
      <c r="F314" s="436"/>
      <c r="G314" s="244">
        <f>+G150+G153+8.82</f>
        <v>173.32999999999998</v>
      </c>
      <c r="H314" s="437" t="s">
        <v>26</v>
      </c>
      <c r="I314" s="386">
        <v>0</v>
      </c>
      <c r="J314" s="246">
        <f>G314*I314</f>
        <v>0</v>
      </c>
      <c r="K314" s="105"/>
      <c r="L314" s="105"/>
    </row>
    <row r="315" spans="1:13" ht="15.95" customHeight="1" x14ac:dyDescent="0.2">
      <c r="B315" s="438"/>
      <c r="C315" s="435"/>
      <c r="D315" s="242"/>
      <c r="E315" s="243"/>
      <c r="F315" s="436"/>
      <c r="G315" s="244"/>
      <c r="H315" s="437"/>
      <c r="I315" s="240"/>
      <c r="J315" s="246"/>
      <c r="K315" s="105"/>
      <c r="L315" s="105"/>
    </row>
    <row r="316" spans="1:13" ht="15.95" customHeight="1" x14ac:dyDescent="0.2">
      <c r="B316" s="344"/>
      <c r="C316" s="345"/>
      <c r="D316" s="282" t="s">
        <v>261</v>
      </c>
      <c r="E316" s="347"/>
      <c r="F316" s="347"/>
      <c r="G316" s="407"/>
      <c r="H316" s="348"/>
      <c r="I316" s="349"/>
      <c r="J316" s="350"/>
      <c r="K316" s="105"/>
      <c r="L316" s="105"/>
    </row>
    <row r="317" spans="1:13" ht="15.95" customHeight="1" x14ac:dyDescent="0.2">
      <c r="B317" s="340">
        <v>1</v>
      </c>
      <c r="C317" s="243"/>
      <c r="D317" s="242" t="str">
        <f>+D312</f>
        <v>Pek. Cat Dinding dan Kolom , Dulux Water shield Daybreak 40544M, Exterior</v>
      </c>
      <c r="E317" s="243"/>
      <c r="F317" s="243"/>
      <c r="G317" s="244">
        <f>+G102-G318</f>
        <v>585.85000000000014</v>
      </c>
      <c r="H317" s="245" t="s">
        <v>26</v>
      </c>
      <c r="I317" s="386">
        <v>0</v>
      </c>
      <c r="J317" s="246">
        <f>G317*I317</f>
        <v>0</v>
      </c>
      <c r="K317" s="105"/>
      <c r="L317" s="105"/>
    </row>
    <row r="318" spans="1:13" ht="15.95" customHeight="1" x14ac:dyDescent="0.2">
      <c r="B318" s="340">
        <v>2</v>
      </c>
      <c r="C318" s="243"/>
      <c r="D318" s="242" t="str">
        <f>+D313</f>
        <v>Pek. Cat Dinding dan Kolom , Dulux Pentalite Almond 44421, Interior</v>
      </c>
      <c r="E318" s="243"/>
      <c r="F318" s="243"/>
      <c r="G318" s="244">
        <f>+(75.5*3)-86.71</f>
        <v>139.79000000000002</v>
      </c>
      <c r="H318" s="245" t="s">
        <v>26</v>
      </c>
      <c r="I318" s="386">
        <v>0</v>
      </c>
      <c r="J318" s="246">
        <f>G318*I318</f>
        <v>0</v>
      </c>
      <c r="K318" s="105"/>
      <c r="L318" s="105"/>
    </row>
    <row r="319" spans="1:13" ht="15.95" customHeight="1" x14ac:dyDescent="0.2">
      <c r="B319" s="340">
        <v>3</v>
      </c>
      <c r="C319" s="435"/>
      <c r="D319" s="242" t="str">
        <f>+D314</f>
        <v>Pek. Cat Plafond, Dulux Pentalite Almond 44421</v>
      </c>
      <c r="E319" s="243"/>
      <c r="F319" s="436"/>
      <c r="G319" s="244">
        <f>+G162+G165+12.765</f>
        <v>285.40499999999997</v>
      </c>
      <c r="H319" s="245" t="s">
        <v>26</v>
      </c>
      <c r="I319" s="386">
        <v>0</v>
      </c>
      <c r="J319" s="246">
        <f>G319*I319</f>
        <v>0</v>
      </c>
      <c r="K319" s="105"/>
      <c r="L319" s="105"/>
    </row>
    <row r="320" spans="1:13" ht="15.95" customHeight="1" x14ac:dyDescent="0.2">
      <c r="B320" s="340">
        <v>4</v>
      </c>
      <c r="C320" s="293"/>
      <c r="D320" s="353" t="s">
        <v>425</v>
      </c>
      <c r="E320" s="293"/>
      <c r="F320" s="293"/>
      <c r="G320" s="244">
        <f>9*2</f>
        <v>18</v>
      </c>
      <c r="H320" s="245" t="s">
        <v>19</v>
      </c>
      <c r="I320" s="386">
        <v>0</v>
      </c>
      <c r="J320" s="246">
        <f>I320*G320</f>
        <v>0</v>
      </c>
      <c r="K320" s="105"/>
      <c r="L320" s="105"/>
    </row>
    <row r="321" spans="2:12" ht="15.95" customHeight="1" thickBot="1" x14ac:dyDescent="0.25">
      <c r="B321" s="392"/>
      <c r="C321" s="435"/>
      <c r="D321" s="242"/>
      <c r="E321" s="243"/>
      <c r="F321" s="436"/>
      <c r="G321" s="439"/>
      <c r="H321" s="245"/>
      <c r="I321" s="240"/>
      <c r="J321" s="440"/>
      <c r="K321" s="105"/>
      <c r="L321" s="105"/>
    </row>
    <row r="322" spans="2:12" ht="15.95" customHeight="1" thickBot="1" x14ac:dyDescent="0.25">
      <c r="B322" s="498"/>
      <c r="C322" s="499"/>
      <c r="D322" s="499"/>
      <c r="E322" s="499"/>
      <c r="F322" s="499"/>
      <c r="G322" s="499"/>
      <c r="H322" s="499"/>
      <c r="I322" s="342" t="s">
        <v>165</v>
      </c>
      <c r="J322" s="343">
        <f>SUM(J312:J321)</f>
        <v>0</v>
      </c>
      <c r="K322" s="105"/>
      <c r="L322" s="105"/>
    </row>
    <row r="323" spans="2:12" ht="15.95" customHeight="1" x14ac:dyDescent="0.2">
      <c r="B323" s="419" t="s">
        <v>194</v>
      </c>
      <c r="C323" s="420"/>
      <c r="D323" s="441" t="s">
        <v>428</v>
      </c>
      <c r="E323" s="421"/>
      <c r="F323" s="421"/>
      <c r="G323" s="422"/>
      <c r="H323" s="423"/>
      <c r="I323" s="401"/>
      <c r="J323" s="389"/>
      <c r="K323" s="105"/>
      <c r="L323" s="105"/>
    </row>
    <row r="324" spans="2:12" ht="15.95" customHeight="1" x14ac:dyDescent="0.2">
      <c r="B324" s="340">
        <v>1</v>
      </c>
      <c r="C324" s="243"/>
      <c r="D324" s="353" t="s">
        <v>328</v>
      </c>
      <c r="E324" s="243"/>
      <c r="F324" s="243"/>
      <c r="G324" s="244">
        <v>1</v>
      </c>
      <c r="H324" s="245" t="s">
        <v>334</v>
      </c>
      <c r="I324" s="386">
        <v>0</v>
      </c>
      <c r="J324" s="246">
        <f t="shared" ref="J324:J331" si="24">I324*G324</f>
        <v>0</v>
      </c>
      <c r="K324" s="105"/>
      <c r="L324" s="105"/>
    </row>
    <row r="325" spans="2:12" ht="15.95" customHeight="1" x14ac:dyDescent="0.2">
      <c r="B325" s="340">
        <f t="shared" ref="B325:B331" si="25">B324+1</f>
        <v>2</v>
      </c>
      <c r="C325" s="243"/>
      <c r="D325" s="353" t="s">
        <v>426</v>
      </c>
      <c r="E325" s="243"/>
      <c r="F325" s="243"/>
      <c r="G325" s="244">
        <f>31.6+11.7</f>
        <v>43.3</v>
      </c>
      <c r="H325" s="245" t="s">
        <v>19</v>
      </c>
      <c r="I325" s="386">
        <v>0</v>
      </c>
      <c r="J325" s="246">
        <f t="shared" si="24"/>
        <v>0</v>
      </c>
      <c r="K325" s="105"/>
      <c r="L325" s="105"/>
    </row>
    <row r="326" spans="2:12" ht="15.95" customHeight="1" x14ac:dyDescent="0.2">
      <c r="B326" s="340">
        <v>3</v>
      </c>
      <c r="C326" s="293"/>
      <c r="D326" s="353" t="s">
        <v>384</v>
      </c>
      <c r="E326" s="293"/>
      <c r="F326" s="293"/>
      <c r="G326" s="244">
        <v>1</v>
      </c>
      <c r="H326" s="245" t="s">
        <v>30</v>
      </c>
      <c r="I326" s="386">
        <v>0</v>
      </c>
      <c r="J326" s="246">
        <f t="shared" si="24"/>
        <v>0</v>
      </c>
      <c r="K326" s="105"/>
      <c r="L326" s="105"/>
    </row>
    <row r="327" spans="2:12" ht="15.95" customHeight="1" x14ac:dyDescent="0.2">
      <c r="B327" s="340">
        <f t="shared" si="25"/>
        <v>4</v>
      </c>
      <c r="C327" s="293"/>
      <c r="D327" s="353" t="s">
        <v>401</v>
      </c>
      <c r="E327" s="293"/>
      <c r="F327" s="293"/>
      <c r="G327" s="244">
        <v>1</v>
      </c>
      <c r="H327" s="245" t="s">
        <v>30</v>
      </c>
      <c r="I327" s="386">
        <v>0</v>
      </c>
      <c r="J327" s="246">
        <f>I327*G327</f>
        <v>0</v>
      </c>
      <c r="K327" s="105"/>
      <c r="L327" s="105"/>
    </row>
    <row r="328" spans="2:12" ht="15.95" customHeight="1" x14ac:dyDescent="0.2">
      <c r="B328" s="340">
        <v>5</v>
      </c>
      <c r="C328" s="293"/>
      <c r="D328" s="442" t="s">
        <v>349</v>
      </c>
      <c r="E328" s="293"/>
      <c r="F328" s="293"/>
      <c r="G328" s="244">
        <v>5.44</v>
      </c>
      <c r="H328" s="245" t="s">
        <v>26</v>
      </c>
      <c r="I328" s="386">
        <v>0</v>
      </c>
      <c r="J328" s="246">
        <f t="shared" si="24"/>
        <v>0</v>
      </c>
      <c r="K328" s="105"/>
      <c r="L328" s="105"/>
    </row>
    <row r="329" spans="2:12" ht="15.95" customHeight="1" x14ac:dyDescent="0.2">
      <c r="B329" s="340">
        <f t="shared" si="25"/>
        <v>6</v>
      </c>
      <c r="C329" s="293"/>
      <c r="D329" s="442" t="s">
        <v>377</v>
      </c>
      <c r="E329" s="293"/>
      <c r="F329" s="293"/>
      <c r="G329" s="244">
        <f>+(16.83*2)+(15.8*0.6)</f>
        <v>43.14</v>
      </c>
      <c r="H329" s="245" t="s">
        <v>26</v>
      </c>
      <c r="I329" s="386">
        <v>0</v>
      </c>
      <c r="J329" s="246">
        <f t="shared" si="24"/>
        <v>0</v>
      </c>
      <c r="K329" s="105"/>
      <c r="L329" s="105"/>
    </row>
    <row r="330" spans="2:12" ht="15.95" customHeight="1" x14ac:dyDescent="0.2">
      <c r="B330" s="340">
        <v>7</v>
      </c>
      <c r="C330" s="293"/>
      <c r="D330" s="442" t="s">
        <v>383</v>
      </c>
      <c r="E330" s="293"/>
      <c r="F330" s="293"/>
      <c r="G330" s="244">
        <f>3.85*2.8</f>
        <v>10.78</v>
      </c>
      <c r="H330" s="245" t="s">
        <v>26</v>
      </c>
      <c r="I330" s="386">
        <v>0</v>
      </c>
      <c r="J330" s="246">
        <f t="shared" si="24"/>
        <v>0</v>
      </c>
      <c r="K330" s="105"/>
      <c r="L330" s="105"/>
    </row>
    <row r="331" spans="2:12" ht="15.95" customHeight="1" x14ac:dyDescent="0.2">
      <c r="B331" s="340">
        <f t="shared" si="25"/>
        <v>8</v>
      </c>
      <c r="C331" s="293"/>
      <c r="D331" s="442" t="s">
        <v>385</v>
      </c>
      <c r="E331" s="293"/>
      <c r="F331" s="293"/>
      <c r="G331" s="244">
        <f>1.6*2.8</f>
        <v>4.4799999999999995</v>
      </c>
      <c r="H331" s="245" t="s">
        <v>26</v>
      </c>
      <c r="I331" s="386">
        <v>0</v>
      </c>
      <c r="J331" s="246">
        <f t="shared" si="24"/>
        <v>0</v>
      </c>
      <c r="K331" s="105"/>
      <c r="L331" s="105"/>
    </row>
    <row r="332" spans="2:12" ht="15.95" customHeight="1" thickBot="1" x14ac:dyDescent="0.25">
      <c r="B332" s="340"/>
      <c r="C332" s="243"/>
      <c r="D332" s="242"/>
      <c r="E332" s="243"/>
      <c r="F332" s="243"/>
      <c r="G332" s="244"/>
      <c r="H332" s="245"/>
      <c r="I332" s="240"/>
      <c r="J332" s="246"/>
      <c r="K332" s="105"/>
      <c r="L332" s="105"/>
    </row>
    <row r="333" spans="2:12" ht="15.95" customHeight="1" thickBot="1" x14ac:dyDescent="0.25">
      <c r="B333" s="495"/>
      <c r="C333" s="496"/>
      <c r="D333" s="496"/>
      <c r="E333" s="496"/>
      <c r="F333" s="496"/>
      <c r="G333" s="496"/>
      <c r="H333" s="497"/>
      <c r="I333" s="342" t="s">
        <v>165</v>
      </c>
      <c r="J333" s="343">
        <f>SUM(J324:J332)</f>
        <v>0</v>
      </c>
      <c r="K333" s="105"/>
      <c r="L333" s="105"/>
    </row>
    <row r="334" spans="2:12" ht="15.95" customHeight="1" x14ac:dyDescent="0.2">
      <c r="B334" s="105"/>
      <c r="G334" s="105"/>
      <c r="J334" s="105"/>
      <c r="K334" s="105"/>
      <c r="L334" s="105"/>
    </row>
    <row r="335" spans="2:12" ht="15.95" customHeight="1" x14ac:dyDescent="0.2">
      <c r="B335" s="105"/>
      <c r="G335" s="105"/>
      <c r="J335" s="105"/>
      <c r="K335" s="105"/>
      <c r="L335" s="105"/>
    </row>
    <row r="336" spans="2:12" ht="15.95" customHeight="1" x14ac:dyDescent="0.2">
      <c r="B336" s="105"/>
      <c r="G336" s="105"/>
      <c r="J336" s="105"/>
      <c r="K336" s="105"/>
      <c r="L336" s="105"/>
    </row>
    <row r="337" spans="2:12" ht="15.95" customHeight="1" x14ac:dyDescent="0.2">
      <c r="B337" s="105"/>
      <c r="G337" s="105"/>
      <c r="H337" s="330" t="s">
        <v>442</v>
      </c>
      <c r="J337" s="105"/>
      <c r="K337" s="105"/>
      <c r="L337" s="105"/>
    </row>
    <row r="338" spans="2:12" ht="15.95" customHeight="1" x14ac:dyDescent="0.2">
      <c r="B338" s="105"/>
      <c r="H338" s="332" t="s">
        <v>443</v>
      </c>
      <c r="J338" s="105"/>
      <c r="K338" s="105"/>
      <c r="L338" s="105"/>
    </row>
    <row r="339" spans="2:12" ht="15.95" customHeight="1" x14ac:dyDescent="0.2">
      <c r="B339" s="105"/>
      <c r="H339" s="332"/>
      <c r="J339" s="105"/>
      <c r="K339" s="105"/>
      <c r="L339" s="105"/>
    </row>
    <row r="340" spans="2:12" ht="15.95" customHeight="1" x14ac:dyDescent="0.2">
      <c r="B340" s="105"/>
      <c r="H340" s="332"/>
      <c r="J340" s="105"/>
      <c r="K340" s="105"/>
      <c r="L340" s="105"/>
    </row>
    <row r="341" spans="2:12" ht="15.95" customHeight="1" x14ac:dyDescent="0.2">
      <c r="B341" s="105"/>
      <c r="H341" s="241"/>
      <c r="J341" s="105"/>
      <c r="K341" s="105"/>
      <c r="L341" s="105"/>
    </row>
    <row r="342" spans="2:12" ht="15.95" customHeight="1" x14ac:dyDescent="0.2">
      <c r="B342" s="105"/>
      <c r="H342" s="117"/>
      <c r="J342" s="105"/>
      <c r="K342" s="105"/>
      <c r="L342" s="105"/>
    </row>
    <row r="343" spans="2:12" ht="15.95" customHeight="1" x14ac:dyDescent="0.2">
      <c r="B343" s="105"/>
      <c r="H343" s="290" t="s">
        <v>444</v>
      </c>
      <c r="J343" s="105"/>
      <c r="K343" s="105"/>
      <c r="L343" s="105"/>
    </row>
    <row r="344" spans="2:12" ht="15.95" customHeight="1" x14ac:dyDescent="0.2">
      <c r="B344" s="105"/>
      <c r="H344" s="117" t="s">
        <v>445</v>
      </c>
      <c r="J344" s="105"/>
      <c r="K344" s="105"/>
      <c r="L344" s="105"/>
    </row>
    <row r="345" spans="2:12" ht="15.95" customHeight="1" x14ac:dyDescent="0.2">
      <c r="B345" s="105"/>
      <c r="H345" s="443"/>
      <c r="I345" s="443"/>
      <c r="J345" s="105"/>
      <c r="K345" s="105"/>
      <c r="L345" s="105"/>
    </row>
    <row r="346" spans="2:12" ht="15.95" customHeight="1" x14ac:dyDescent="0.2">
      <c r="B346" s="105"/>
      <c r="H346" s="443"/>
      <c r="I346" s="443"/>
      <c r="J346" s="105"/>
      <c r="K346" s="105"/>
      <c r="L346" s="105"/>
    </row>
    <row r="347" spans="2:12" ht="15.95" customHeight="1" x14ac:dyDescent="0.2">
      <c r="B347" s="105"/>
      <c r="H347" s="443"/>
      <c r="I347" s="443"/>
      <c r="J347" s="105"/>
      <c r="K347" s="105"/>
      <c r="L347" s="105"/>
    </row>
    <row r="348" spans="2:12" ht="15.95" customHeight="1" x14ac:dyDescent="0.2">
      <c r="B348" s="105"/>
      <c r="H348" s="443"/>
      <c r="I348" s="443"/>
      <c r="J348" s="105"/>
      <c r="K348" s="105"/>
      <c r="L348" s="105"/>
    </row>
    <row r="349" spans="2:12" ht="15.95" customHeight="1" x14ac:dyDescent="0.2">
      <c r="B349" s="105"/>
      <c r="H349" s="443"/>
      <c r="I349" s="443"/>
      <c r="J349" s="105"/>
      <c r="K349" s="105"/>
      <c r="L349" s="105"/>
    </row>
    <row r="350" spans="2:12" ht="15.95" customHeight="1" x14ac:dyDescent="0.2">
      <c r="B350" s="105"/>
      <c r="H350" s="443"/>
      <c r="I350" s="443"/>
      <c r="J350" s="105"/>
      <c r="K350" s="105"/>
      <c r="L350" s="105"/>
    </row>
    <row r="351" spans="2:12" ht="15.95" customHeight="1" x14ac:dyDescent="0.2">
      <c r="B351" s="105"/>
      <c r="H351" s="443"/>
      <c r="I351" s="443"/>
      <c r="J351" s="105"/>
      <c r="K351" s="105"/>
      <c r="L351" s="105"/>
    </row>
    <row r="352" spans="2:12" ht="15.95" customHeight="1" x14ac:dyDescent="0.2">
      <c r="B352" s="105"/>
      <c r="H352" s="443"/>
      <c r="I352" s="443"/>
      <c r="J352" s="105"/>
      <c r="K352" s="105"/>
      <c r="L352" s="105"/>
    </row>
    <row r="353" spans="2:12" ht="15.95" customHeight="1" x14ac:dyDescent="0.2">
      <c r="B353" s="105"/>
      <c r="H353" s="443"/>
      <c r="I353" s="443"/>
      <c r="J353" s="105"/>
      <c r="K353" s="105"/>
      <c r="L353" s="105"/>
    </row>
    <row r="354" spans="2:12" ht="15.95" customHeight="1" x14ac:dyDescent="0.2">
      <c r="B354" s="105"/>
      <c r="H354" s="443"/>
      <c r="I354" s="443"/>
      <c r="J354" s="105"/>
      <c r="K354" s="105"/>
      <c r="L354" s="105"/>
    </row>
    <row r="355" spans="2:12" ht="15.95" customHeight="1" x14ac:dyDescent="0.2">
      <c r="B355" s="105"/>
      <c r="H355" s="443"/>
      <c r="I355" s="443"/>
      <c r="J355" s="105"/>
      <c r="K355" s="105"/>
      <c r="L355" s="105"/>
    </row>
    <row r="356" spans="2:12" ht="15.95" customHeight="1" x14ac:dyDescent="0.2">
      <c r="B356" s="105"/>
      <c r="H356" s="443"/>
      <c r="I356" s="443"/>
      <c r="J356" s="105"/>
      <c r="K356" s="105"/>
      <c r="L356" s="105"/>
    </row>
    <row r="357" spans="2:12" ht="15.95" customHeight="1" x14ac:dyDescent="0.2">
      <c r="B357" s="105"/>
      <c r="H357" s="443"/>
      <c r="I357" s="443"/>
      <c r="J357" s="105"/>
      <c r="K357" s="105"/>
      <c r="L357" s="105"/>
    </row>
    <row r="358" spans="2:12" ht="15.95" customHeight="1" x14ac:dyDescent="0.2">
      <c r="B358" s="105"/>
      <c r="H358" s="443"/>
      <c r="I358" s="443"/>
      <c r="J358" s="105"/>
      <c r="K358" s="105"/>
      <c r="L358" s="105"/>
    </row>
    <row r="359" spans="2:12" ht="15.95" customHeight="1" x14ac:dyDescent="0.2">
      <c r="B359" s="105"/>
      <c r="H359" s="443"/>
      <c r="I359" s="443"/>
      <c r="J359" s="105"/>
      <c r="K359" s="105"/>
      <c r="L359" s="105"/>
    </row>
    <row r="360" spans="2:12" ht="15.95" customHeight="1" x14ac:dyDescent="0.2">
      <c r="B360" s="105"/>
      <c r="H360" s="443"/>
      <c r="I360" s="443"/>
      <c r="J360" s="105"/>
      <c r="K360" s="105"/>
      <c r="L360" s="105"/>
    </row>
    <row r="361" spans="2:12" ht="15.95" customHeight="1" x14ac:dyDescent="0.2">
      <c r="B361" s="105"/>
      <c r="H361" s="443"/>
      <c r="I361" s="443"/>
      <c r="J361" s="105"/>
      <c r="K361" s="105"/>
      <c r="L361" s="105"/>
    </row>
    <row r="362" spans="2:12" ht="15.95" customHeight="1" x14ac:dyDescent="0.2">
      <c r="B362" s="105"/>
      <c r="H362" s="443"/>
      <c r="I362" s="443"/>
      <c r="J362" s="105"/>
      <c r="K362" s="105"/>
      <c r="L362" s="105"/>
    </row>
    <row r="363" spans="2:12" ht="15.95" customHeight="1" x14ac:dyDescent="0.2">
      <c r="B363" s="105"/>
      <c r="H363" s="443"/>
      <c r="I363" s="443"/>
      <c r="J363" s="105"/>
      <c r="K363" s="105"/>
      <c r="L363" s="105"/>
    </row>
    <row r="364" spans="2:12" ht="15.95" customHeight="1" x14ac:dyDescent="0.2">
      <c r="B364" s="105"/>
      <c r="H364" s="443"/>
      <c r="I364" s="443"/>
      <c r="J364" s="105"/>
      <c r="K364" s="105"/>
      <c r="L364" s="105"/>
    </row>
    <row r="365" spans="2:12" ht="15.95" customHeight="1" x14ac:dyDescent="0.2">
      <c r="B365" s="105"/>
      <c r="H365" s="443"/>
      <c r="I365" s="443"/>
      <c r="J365" s="105"/>
      <c r="K365" s="105"/>
      <c r="L365" s="105"/>
    </row>
    <row r="366" spans="2:12" ht="15.95" customHeight="1" x14ac:dyDescent="0.2">
      <c r="B366" s="105"/>
      <c r="H366" s="443"/>
      <c r="I366" s="443"/>
      <c r="J366" s="105"/>
      <c r="K366" s="105"/>
      <c r="L366" s="105"/>
    </row>
    <row r="367" spans="2:12" ht="15.95" customHeight="1" x14ac:dyDescent="0.2">
      <c r="B367" s="105"/>
      <c r="H367" s="443"/>
      <c r="I367" s="443"/>
      <c r="J367" s="105"/>
      <c r="K367" s="105"/>
      <c r="L367" s="105"/>
    </row>
    <row r="368" spans="2:12" ht="15.95" customHeight="1" x14ac:dyDescent="0.2">
      <c r="B368" s="105"/>
      <c r="H368" s="443"/>
      <c r="I368" s="443"/>
      <c r="J368" s="105"/>
      <c r="K368" s="105"/>
      <c r="L368" s="105"/>
    </row>
    <row r="369" spans="2:12" ht="15.95" customHeight="1" x14ac:dyDescent="0.2">
      <c r="B369" s="105"/>
      <c r="H369" s="443"/>
      <c r="I369" s="443"/>
      <c r="J369" s="105"/>
      <c r="K369" s="105"/>
      <c r="L369" s="105"/>
    </row>
    <row r="370" spans="2:12" ht="15.95" customHeight="1" x14ac:dyDescent="0.2">
      <c r="B370" s="105"/>
      <c r="H370" s="443"/>
      <c r="I370" s="443"/>
      <c r="J370" s="105"/>
      <c r="K370" s="105"/>
      <c r="L370" s="105"/>
    </row>
    <row r="371" spans="2:12" ht="15.95" customHeight="1" x14ac:dyDescent="0.2">
      <c r="B371" s="105"/>
      <c r="H371" s="443"/>
      <c r="I371" s="443"/>
      <c r="J371" s="105"/>
      <c r="K371" s="105"/>
      <c r="L371" s="105"/>
    </row>
    <row r="372" spans="2:12" ht="15.95" customHeight="1" x14ac:dyDescent="0.2">
      <c r="B372" s="105"/>
      <c r="H372" s="443"/>
      <c r="I372" s="443"/>
      <c r="J372" s="105"/>
      <c r="K372" s="105"/>
      <c r="L372" s="105"/>
    </row>
    <row r="373" spans="2:12" ht="15.95" customHeight="1" x14ac:dyDescent="0.2">
      <c r="B373" s="105"/>
      <c r="H373" s="443"/>
      <c r="I373" s="443"/>
      <c r="J373" s="105"/>
      <c r="K373" s="105"/>
      <c r="L373" s="105"/>
    </row>
    <row r="374" spans="2:12" ht="15.95" customHeight="1" x14ac:dyDescent="0.2">
      <c r="B374" s="105"/>
      <c r="H374" s="443"/>
      <c r="I374" s="443"/>
      <c r="J374" s="105"/>
      <c r="K374" s="105"/>
      <c r="L374" s="105"/>
    </row>
    <row r="375" spans="2:12" ht="15.95" customHeight="1" x14ac:dyDescent="0.2">
      <c r="B375" s="105"/>
      <c r="H375" s="443"/>
      <c r="I375" s="443"/>
      <c r="J375" s="105"/>
      <c r="K375" s="105"/>
      <c r="L375" s="105"/>
    </row>
    <row r="376" spans="2:12" ht="15.95" customHeight="1" x14ac:dyDescent="0.2">
      <c r="B376" s="105"/>
      <c r="H376" s="443"/>
      <c r="I376" s="443"/>
      <c r="J376" s="105"/>
      <c r="K376" s="105"/>
      <c r="L376" s="105"/>
    </row>
    <row r="377" spans="2:12" ht="15.95" customHeight="1" x14ac:dyDescent="0.2">
      <c r="B377" s="105"/>
      <c r="H377" s="443"/>
      <c r="I377" s="443"/>
      <c r="J377" s="105"/>
      <c r="K377" s="105"/>
      <c r="L377" s="105"/>
    </row>
    <row r="378" spans="2:12" ht="15.95" customHeight="1" x14ac:dyDescent="0.2">
      <c r="B378" s="105"/>
      <c r="H378" s="443"/>
      <c r="I378" s="443"/>
      <c r="J378" s="105"/>
      <c r="K378" s="105"/>
      <c r="L378" s="105"/>
    </row>
    <row r="379" spans="2:12" ht="15.95" customHeight="1" x14ac:dyDescent="0.2">
      <c r="B379" s="105"/>
      <c r="H379" s="443"/>
      <c r="I379" s="443"/>
      <c r="J379" s="105"/>
      <c r="K379" s="105"/>
      <c r="L379" s="105"/>
    </row>
    <row r="380" spans="2:12" ht="15.95" customHeight="1" x14ac:dyDescent="0.2">
      <c r="B380" s="105"/>
      <c r="H380" s="443"/>
      <c r="I380" s="443"/>
      <c r="J380" s="105"/>
      <c r="K380" s="105"/>
      <c r="L380" s="105"/>
    </row>
    <row r="381" spans="2:12" ht="15.95" customHeight="1" x14ac:dyDescent="0.2">
      <c r="B381" s="105"/>
      <c r="H381" s="443"/>
      <c r="I381" s="443"/>
      <c r="J381" s="105"/>
      <c r="K381" s="105"/>
      <c r="L381" s="105"/>
    </row>
    <row r="382" spans="2:12" ht="15.95" customHeight="1" x14ac:dyDescent="0.2">
      <c r="B382" s="105"/>
      <c r="H382" s="443"/>
      <c r="I382" s="443"/>
      <c r="J382" s="105"/>
      <c r="K382" s="105"/>
      <c r="L382" s="105"/>
    </row>
    <row r="383" spans="2:12" ht="15.95" customHeight="1" x14ac:dyDescent="0.2">
      <c r="B383" s="105"/>
      <c r="H383" s="443"/>
      <c r="I383" s="443"/>
      <c r="J383" s="105"/>
      <c r="K383" s="105"/>
      <c r="L383" s="105"/>
    </row>
    <row r="384" spans="2:12" ht="15.95" customHeight="1" x14ac:dyDescent="0.2">
      <c r="B384" s="105"/>
      <c r="H384" s="443"/>
      <c r="I384" s="443"/>
      <c r="J384" s="105"/>
      <c r="K384" s="105"/>
      <c r="L384" s="105"/>
    </row>
    <row r="385" spans="2:12" ht="15.95" customHeight="1" x14ac:dyDescent="0.2">
      <c r="B385" s="105"/>
      <c r="H385" s="443"/>
      <c r="I385" s="443"/>
      <c r="J385" s="105"/>
      <c r="K385" s="105"/>
      <c r="L385" s="105"/>
    </row>
    <row r="386" spans="2:12" ht="15.95" customHeight="1" x14ac:dyDescent="0.2">
      <c r="B386" s="105"/>
      <c r="H386" s="443"/>
      <c r="I386" s="443"/>
      <c r="J386" s="105"/>
      <c r="K386" s="105"/>
      <c r="L386" s="105"/>
    </row>
    <row r="387" spans="2:12" ht="15.95" customHeight="1" x14ac:dyDescent="0.2">
      <c r="B387" s="105"/>
      <c r="H387" s="443"/>
      <c r="I387" s="443"/>
      <c r="J387" s="105"/>
      <c r="K387" s="105"/>
      <c r="L387" s="105"/>
    </row>
    <row r="388" spans="2:12" ht="15.95" customHeight="1" x14ac:dyDescent="0.2">
      <c r="B388" s="105"/>
      <c r="H388" s="443"/>
      <c r="I388" s="443"/>
      <c r="J388" s="105"/>
      <c r="K388" s="105"/>
      <c r="L388" s="105"/>
    </row>
    <row r="389" spans="2:12" ht="15.95" customHeight="1" x14ac:dyDescent="0.2">
      <c r="B389" s="105"/>
      <c r="H389" s="443"/>
      <c r="I389" s="443"/>
      <c r="J389" s="105"/>
      <c r="K389" s="105"/>
      <c r="L389" s="105"/>
    </row>
    <row r="390" spans="2:12" ht="15.95" customHeight="1" x14ac:dyDescent="0.2">
      <c r="B390" s="105"/>
      <c r="H390" s="443"/>
      <c r="I390" s="443"/>
      <c r="J390" s="105"/>
      <c r="K390" s="105"/>
      <c r="L390" s="105"/>
    </row>
    <row r="391" spans="2:12" ht="15.95" customHeight="1" x14ac:dyDescent="0.2">
      <c r="B391" s="105"/>
      <c r="H391" s="443"/>
      <c r="I391" s="443"/>
      <c r="J391" s="105"/>
      <c r="K391" s="105"/>
      <c r="L391" s="105"/>
    </row>
    <row r="392" spans="2:12" ht="15.95" customHeight="1" x14ac:dyDescent="0.2">
      <c r="B392" s="105"/>
      <c r="H392" s="443"/>
      <c r="I392" s="443"/>
      <c r="J392" s="105"/>
      <c r="K392" s="105"/>
      <c r="L392" s="105"/>
    </row>
    <row r="393" spans="2:12" ht="15.95" customHeight="1" x14ac:dyDescent="0.2">
      <c r="B393" s="105"/>
      <c r="H393" s="443"/>
      <c r="I393" s="443"/>
      <c r="J393" s="105"/>
      <c r="K393" s="105"/>
      <c r="L393" s="105"/>
    </row>
    <row r="394" spans="2:12" ht="15.95" customHeight="1" x14ac:dyDescent="0.2">
      <c r="B394" s="105"/>
      <c r="H394" s="443"/>
      <c r="I394" s="443"/>
      <c r="J394" s="105"/>
      <c r="K394" s="105"/>
      <c r="L394" s="105"/>
    </row>
    <row r="395" spans="2:12" ht="15.95" customHeight="1" x14ac:dyDescent="0.2">
      <c r="B395" s="105"/>
      <c r="H395" s="443"/>
      <c r="I395" s="443"/>
      <c r="J395" s="105"/>
      <c r="K395" s="105"/>
      <c r="L395" s="105"/>
    </row>
    <row r="396" spans="2:12" ht="15.95" customHeight="1" x14ac:dyDescent="0.2">
      <c r="B396" s="105"/>
      <c r="H396" s="443"/>
      <c r="I396" s="443"/>
      <c r="J396" s="105"/>
      <c r="K396" s="105"/>
      <c r="L396" s="105"/>
    </row>
    <row r="397" spans="2:12" ht="15.95" customHeight="1" x14ac:dyDescent="0.2">
      <c r="B397" s="105"/>
      <c r="H397" s="443"/>
      <c r="I397" s="443"/>
      <c r="J397" s="105"/>
      <c r="K397" s="105"/>
      <c r="L397" s="105"/>
    </row>
    <row r="398" spans="2:12" ht="15.95" customHeight="1" x14ac:dyDescent="0.2">
      <c r="B398" s="105"/>
      <c r="H398" s="443"/>
      <c r="I398" s="443"/>
      <c r="J398" s="105"/>
      <c r="K398" s="105"/>
      <c r="L398" s="105"/>
    </row>
    <row r="399" spans="2:12" ht="15.95" customHeight="1" x14ac:dyDescent="0.2">
      <c r="B399" s="105"/>
      <c r="H399" s="443"/>
      <c r="I399" s="443"/>
      <c r="J399" s="105"/>
      <c r="K399" s="105"/>
      <c r="L399" s="105"/>
    </row>
    <row r="400" spans="2:12" ht="15.95" customHeight="1" x14ac:dyDescent="0.2">
      <c r="B400" s="105"/>
      <c r="H400" s="443"/>
      <c r="I400" s="443"/>
      <c r="J400" s="105"/>
      <c r="K400" s="105"/>
      <c r="L400" s="105"/>
    </row>
    <row r="401" spans="2:12" ht="15.95" customHeight="1" x14ac:dyDescent="0.2">
      <c r="B401" s="105"/>
      <c r="H401" s="443"/>
      <c r="I401" s="443"/>
      <c r="J401" s="105"/>
      <c r="K401" s="105"/>
      <c r="L401" s="105"/>
    </row>
    <row r="402" spans="2:12" ht="15.95" customHeight="1" x14ac:dyDescent="0.2">
      <c r="B402" s="105"/>
      <c r="H402" s="443"/>
      <c r="I402" s="443"/>
      <c r="J402" s="105"/>
      <c r="K402" s="105"/>
      <c r="L402" s="105"/>
    </row>
    <row r="403" spans="2:12" ht="15.95" customHeight="1" x14ac:dyDescent="0.2">
      <c r="B403" s="105"/>
      <c r="H403" s="443"/>
      <c r="I403" s="443"/>
      <c r="J403" s="105"/>
      <c r="K403" s="105"/>
      <c r="L403" s="105"/>
    </row>
    <row r="404" spans="2:12" ht="15.95" customHeight="1" x14ac:dyDescent="0.2">
      <c r="B404" s="105"/>
      <c r="H404" s="443"/>
      <c r="I404" s="443"/>
      <c r="J404" s="105"/>
      <c r="K404" s="105"/>
      <c r="L404" s="105"/>
    </row>
    <row r="405" spans="2:12" ht="15.95" customHeight="1" x14ac:dyDescent="0.2">
      <c r="B405" s="105"/>
      <c r="H405" s="443"/>
      <c r="I405" s="443"/>
      <c r="J405" s="105"/>
      <c r="K405" s="105"/>
      <c r="L405" s="105"/>
    </row>
    <row r="406" spans="2:12" ht="15.95" customHeight="1" x14ac:dyDescent="0.2">
      <c r="B406" s="105"/>
      <c r="H406" s="443"/>
      <c r="I406" s="443"/>
      <c r="J406" s="105"/>
      <c r="K406" s="105"/>
      <c r="L406" s="105"/>
    </row>
    <row r="407" spans="2:12" ht="15.95" customHeight="1" x14ac:dyDescent="0.2">
      <c r="B407" s="105"/>
      <c r="H407" s="443"/>
      <c r="I407" s="443"/>
      <c r="J407" s="105"/>
      <c r="K407" s="105"/>
      <c r="L407" s="105"/>
    </row>
    <row r="408" spans="2:12" ht="15.95" customHeight="1" x14ac:dyDescent="0.2">
      <c r="B408" s="105"/>
      <c r="H408" s="443"/>
      <c r="I408" s="443"/>
      <c r="J408" s="105"/>
      <c r="K408" s="105"/>
      <c r="L408" s="105"/>
    </row>
    <row r="409" spans="2:12" ht="15.95" customHeight="1" x14ac:dyDescent="0.2">
      <c r="B409" s="105"/>
      <c r="H409" s="443"/>
      <c r="I409" s="443"/>
      <c r="J409" s="105"/>
      <c r="K409" s="105"/>
      <c r="L409" s="105"/>
    </row>
    <row r="410" spans="2:12" ht="15.95" customHeight="1" x14ac:dyDescent="0.2">
      <c r="B410" s="105"/>
      <c r="H410" s="443"/>
      <c r="I410" s="443"/>
      <c r="J410" s="105"/>
      <c r="K410" s="105"/>
      <c r="L410" s="105"/>
    </row>
    <row r="411" spans="2:12" ht="15.95" customHeight="1" x14ac:dyDescent="0.2">
      <c r="B411" s="105"/>
      <c r="H411" s="443"/>
      <c r="I411" s="443"/>
      <c r="J411" s="105"/>
      <c r="K411" s="105"/>
      <c r="L411" s="105"/>
    </row>
    <row r="412" spans="2:12" ht="15.95" customHeight="1" x14ac:dyDescent="0.2">
      <c r="B412" s="105"/>
      <c r="H412" s="443"/>
      <c r="I412" s="443"/>
      <c r="J412" s="105"/>
      <c r="K412" s="105"/>
      <c r="L412" s="105"/>
    </row>
    <row r="413" spans="2:12" ht="15.95" customHeight="1" x14ac:dyDescent="0.2">
      <c r="B413" s="105"/>
      <c r="H413" s="443"/>
      <c r="I413" s="443"/>
      <c r="J413" s="105"/>
      <c r="K413" s="105"/>
      <c r="L413" s="105"/>
    </row>
    <row r="414" spans="2:12" ht="15.95" customHeight="1" x14ac:dyDescent="0.2">
      <c r="B414" s="105"/>
      <c r="H414" s="443"/>
      <c r="I414" s="443"/>
      <c r="J414" s="105"/>
      <c r="K414" s="105"/>
      <c r="L414" s="105"/>
    </row>
    <row r="415" spans="2:12" ht="15.95" customHeight="1" x14ac:dyDescent="0.2">
      <c r="B415" s="105"/>
      <c r="H415" s="443"/>
      <c r="I415" s="443"/>
      <c r="J415" s="105"/>
      <c r="K415" s="105"/>
      <c r="L415" s="105"/>
    </row>
    <row r="416" spans="2:12" ht="15.95" customHeight="1" x14ac:dyDescent="0.2">
      <c r="B416" s="105"/>
      <c r="H416" s="443"/>
      <c r="I416" s="443"/>
      <c r="J416" s="105"/>
      <c r="K416" s="105"/>
      <c r="L416" s="105"/>
    </row>
    <row r="417" spans="2:12" ht="15.95" customHeight="1" x14ac:dyDescent="0.2">
      <c r="B417" s="105"/>
      <c r="H417" s="443"/>
      <c r="I417" s="443"/>
      <c r="J417" s="105"/>
      <c r="K417" s="105"/>
      <c r="L417" s="105"/>
    </row>
    <row r="418" spans="2:12" ht="15.95" customHeight="1" x14ac:dyDescent="0.2">
      <c r="B418" s="105"/>
      <c r="H418" s="443"/>
      <c r="I418" s="443"/>
      <c r="J418" s="105"/>
      <c r="K418" s="105"/>
      <c r="L418" s="105"/>
    </row>
    <row r="419" spans="2:12" ht="15.95" customHeight="1" x14ac:dyDescent="0.2">
      <c r="B419" s="105"/>
      <c r="H419" s="443"/>
      <c r="I419" s="443"/>
      <c r="J419" s="105"/>
      <c r="K419" s="105"/>
      <c r="L419" s="105"/>
    </row>
    <row r="420" spans="2:12" ht="15.95" customHeight="1" x14ac:dyDescent="0.2">
      <c r="B420" s="105"/>
      <c r="H420" s="443"/>
      <c r="I420" s="443"/>
      <c r="J420" s="105"/>
      <c r="K420" s="105"/>
      <c r="L420" s="105"/>
    </row>
    <row r="421" spans="2:12" ht="15.95" customHeight="1" x14ac:dyDescent="0.2">
      <c r="B421" s="105"/>
      <c r="H421" s="443"/>
      <c r="I421" s="443"/>
      <c r="J421" s="105"/>
      <c r="K421" s="105"/>
      <c r="L421" s="105"/>
    </row>
    <row r="422" spans="2:12" ht="15.95" customHeight="1" x14ac:dyDescent="0.2">
      <c r="B422" s="105"/>
      <c r="H422" s="443"/>
      <c r="I422" s="443"/>
      <c r="J422" s="105"/>
      <c r="K422" s="105"/>
      <c r="L422" s="105"/>
    </row>
    <row r="423" spans="2:12" ht="15.95" customHeight="1" x14ac:dyDescent="0.2">
      <c r="B423" s="105"/>
      <c r="H423" s="443"/>
      <c r="I423" s="443"/>
      <c r="J423" s="105"/>
      <c r="K423" s="105"/>
      <c r="L423" s="105"/>
    </row>
    <row r="424" spans="2:12" ht="15.95" customHeight="1" x14ac:dyDescent="0.2">
      <c r="B424" s="105"/>
      <c r="H424" s="443"/>
      <c r="I424" s="443"/>
      <c r="J424" s="105"/>
      <c r="K424" s="105"/>
      <c r="L424" s="105"/>
    </row>
    <row r="425" spans="2:12" ht="15.95" customHeight="1" x14ac:dyDescent="0.2">
      <c r="B425" s="105"/>
      <c r="H425" s="443"/>
      <c r="I425" s="443"/>
      <c r="J425" s="105"/>
      <c r="K425" s="105"/>
      <c r="L425" s="105"/>
    </row>
    <row r="426" spans="2:12" ht="15.95" customHeight="1" x14ac:dyDescent="0.2">
      <c r="B426" s="105"/>
      <c r="H426" s="443"/>
      <c r="I426" s="443"/>
      <c r="J426" s="105"/>
      <c r="K426" s="105"/>
      <c r="L426" s="105"/>
    </row>
    <row r="427" spans="2:12" ht="15.95" customHeight="1" x14ac:dyDescent="0.2">
      <c r="B427" s="105"/>
      <c r="H427" s="443"/>
      <c r="I427" s="443"/>
      <c r="J427" s="105"/>
      <c r="K427" s="105"/>
      <c r="L427" s="105"/>
    </row>
    <row r="428" spans="2:12" ht="15.95" customHeight="1" x14ac:dyDescent="0.2">
      <c r="B428" s="105"/>
      <c r="H428" s="443"/>
      <c r="I428" s="443"/>
      <c r="J428" s="105"/>
      <c r="K428" s="105"/>
      <c r="L428" s="105"/>
    </row>
    <row r="429" spans="2:12" ht="15.95" customHeight="1" x14ac:dyDescent="0.2">
      <c r="B429" s="105"/>
      <c r="H429" s="443"/>
      <c r="I429" s="443"/>
      <c r="J429" s="105"/>
      <c r="K429" s="105"/>
      <c r="L429" s="105"/>
    </row>
    <row r="430" spans="2:12" ht="15.95" customHeight="1" x14ac:dyDescent="0.2">
      <c r="B430" s="105"/>
      <c r="H430" s="443"/>
      <c r="I430" s="443"/>
      <c r="J430" s="105"/>
      <c r="K430" s="105"/>
      <c r="L430" s="105"/>
    </row>
    <row r="431" spans="2:12" ht="15.95" customHeight="1" x14ac:dyDescent="0.2">
      <c r="B431" s="105"/>
      <c r="H431" s="443"/>
      <c r="I431" s="443"/>
      <c r="J431" s="105"/>
      <c r="K431" s="105"/>
      <c r="L431" s="105"/>
    </row>
    <row r="432" spans="2:12" ht="15.95" customHeight="1" x14ac:dyDescent="0.2">
      <c r="B432" s="105"/>
      <c r="H432" s="443"/>
      <c r="I432" s="443"/>
      <c r="J432" s="105"/>
      <c r="K432" s="105"/>
      <c r="L432" s="105"/>
    </row>
    <row r="433" spans="2:12" ht="15.95" customHeight="1" x14ac:dyDescent="0.2">
      <c r="B433" s="105"/>
      <c r="H433" s="443"/>
      <c r="I433" s="443"/>
      <c r="J433" s="105"/>
      <c r="K433" s="105"/>
      <c r="L433" s="105"/>
    </row>
    <row r="434" spans="2:12" ht="15.95" customHeight="1" x14ac:dyDescent="0.2">
      <c r="B434" s="105"/>
      <c r="H434" s="443"/>
      <c r="I434" s="443"/>
      <c r="J434" s="105"/>
      <c r="K434" s="105"/>
      <c r="L434" s="105"/>
    </row>
    <row r="435" spans="2:12" ht="15.95" customHeight="1" x14ac:dyDescent="0.2">
      <c r="B435" s="105"/>
      <c r="H435" s="443"/>
      <c r="I435" s="443"/>
      <c r="J435" s="105"/>
      <c r="K435" s="105"/>
      <c r="L435" s="105"/>
    </row>
    <row r="436" spans="2:12" ht="15.95" customHeight="1" x14ac:dyDescent="0.2">
      <c r="B436" s="105"/>
      <c r="H436" s="443"/>
      <c r="I436" s="443"/>
      <c r="J436" s="105"/>
      <c r="K436" s="105"/>
      <c r="L436" s="105"/>
    </row>
    <row r="437" spans="2:12" ht="15.95" customHeight="1" x14ac:dyDescent="0.2">
      <c r="B437" s="105"/>
      <c r="H437" s="443"/>
      <c r="I437" s="443"/>
      <c r="J437" s="105"/>
      <c r="K437" s="105"/>
      <c r="L437" s="105"/>
    </row>
    <row r="438" spans="2:12" ht="15.95" customHeight="1" x14ac:dyDescent="0.2">
      <c r="B438" s="105"/>
      <c r="H438" s="443"/>
      <c r="I438" s="443"/>
      <c r="J438" s="105"/>
      <c r="K438" s="105"/>
      <c r="L438" s="105"/>
    </row>
    <row r="439" spans="2:12" ht="15.95" customHeight="1" x14ac:dyDescent="0.2">
      <c r="B439" s="105"/>
      <c r="H439" s="443"/>
      <c r="I439" s="443"/>
      <c r="J439" s="105"/>
      <c r="K439" s="105"/>
      <c r="L439" s="105"/>
    </row>
    <row r="440" spans="2:12" ht="15.95" customHeight="1" x14ac:dyDescent="0.2">
      <c r="B440" s="105"/>
      <c r="H440" s="443"/>
      <c r="I440" s="443"/>
      <c r="J440" s="105"/>
      <c r="K440" s="105"/>
      <c r="L440" s="105"/>
    </row>
    <row r="441" spans="2:12" ht="15.95" customHeight="1" x14ac:dyDescent="0.2">
      <c r="B441" s="105"/>
      <c r="H441" s="443"/>
      <c r="I441" s="443"/>
      <c r="J441" s="105"/>
      <c r="K441" s="105"/>
      <c r="L441" s="105"/>
    </row>
    <row r="442" spans="2:12" ht="15.95" customHeight="1" x14ac:dyDescent="0.2">
      <c r="B442" s="105"/>
      <c r="H442" s="443"/>
      <c r="I442" s="443"/>
      <c r="J442" s="105"/>
      <c r="K442" s="105"/>
      <c r="L442" s="105"/>
    </row>
    <row r="443" spans="2:12" ht="15.95" customHeight="1" x14ac:dyDescent="0.2">
      <c r="B443" s="105"/>
      <c r="H443" s="443"/>
      <c r="I443" s="443"/>
      <c r="J443" s="105"/>
      <c r="K443" s="105"/>
      <c r="L443" s="105"/>
    </row>
    <row r="444" spans="2:12" ht="15.95" customHeight="1" x14ac:dyDescent="0.2">
      <c r="B444" s="105"/>
      <c r="H444" s="443"/>
      <c r="I444" s="443"/>
      <c r="J444" s="105"/>
      <c r="K444" s="105"/>
      <c r="L444" s="105"/>
    </row>
    <row r="445" spans="2:12" ht="15.95" customHeight="1" x14ac:dyDescent="0.2">
      <c r="B445" s="105"/>
      <c r="H445" s="443"/>
      <c r="I445" s="443"/>
      <c r="J445" s="105"/>
      <c r="K445" s="105"/>
      <c r="L445" s="105"/>
    </row>
    <row r="446" spans="2:12" ht="15.95" customHeight="1" x14ac:dyDescent="0.2">
      <c r="B446" s="105"/>
      <c r="H446" s="443"/>
      <c r="I446" s="443"/>
      <c r="J446" s="105"/>
      <c r="K446" s="105"/>
      <c r="L446" s="105"/>
    </row>
    <row r="447" spans="2:12" ht="15.95" customHeight="1" x14ac:dyDescent="0.2">
      <c r="B447" s="105"/>
      <c r="H447" s="443"/>
      <c r="I447" s="443"/>
      <c r="J447" s="105"/>
      <c r="K447" s="105"/>
      <c r="L447" s="105"/>
    </row>
    <row r="448" spans="2:12" ht="15.95" customHeight="1" x14ac:dyDescent="0.2">
      <c r="B448" s="105"/>
      <c r="H448" s="443"/>
      <c r="I448" s="443"/>
      <c r="J448" s="105"/>
      <c r="K448" s="105"/>
      <c r="L448" s="105"/>
    </row>
    <row r="449" spans="2:12" ht="15.95" customHeight="1" x14ac:dyDescent="0.2">
      <c r="B449" s="105"/>
      <c r="H449" s="443"/>
      <c r="I449" s="443"/>
      <c r="J449" s="105"/>
      <c r="K449" s="105"/>
      <c r="L449" s="105"/>
    </row>
    <row r="450" spans="2:12" ht="15.95" customHeight="1" x14ac:dyDescent="0.2">
      <c r="B450" s="105"/>
      <c r="H450" s="443"/>
      <c r="I450" s="443"/>
      <c r="J450" s="105"/>
      <c r="K450" s="105"/>
      <c r="L450" s="105"/>
    </row>
    <row r="451" spans="2:12" ht="15.95" customHeight="1" x14ac:dyDescent="0.2">
      <c r="B451" s="105"/>
      <c r="H451" s="443"/>
      <c r="I451" s="443"/>
      <c r="J451" s="105"/>
      <c r="K451" s="105"/>
      <c r="L451" s="105"/>
    </row>
    <row r="452" spans="2:12" ht="15.95" customHeight="1" x14ac:dyDescent="0.2">
      <c r="B452" s="105"/>
      <c r="H452" s="443"/>
      <c r="I452" s="443"/>
      <c r="J452" s="105"/>
      <c r="K452" s="105"/>
      <c r="L452" s="105"/>
    </row>
    <row r="453" spans="2:12" ht="15.95" customHeight="1" x14ac:dyDescent="0.2">
      <c r="B453" s="105"/>
      <c r="H453" s="443"/>
      <c r="I453" s="443"/>
      <c r="J453" s="105"/>
      <c r="K453" s="105"/>
      <c r="L453" s="105"/>
    </row>
    <row r="454" spans="2:12" ht="15.95" customHeight="1" x14ac:dyDescent="0.2">
      <c r="B454" s="105"/>
      <c r="H454" s="443"/>
      <c r="I454" s="443"/>
      <c r="J454" s="105"/>
      <c r="K454" s="105"/>
      <c r="L454" s="105"/>
    </row>
    <row r="455" spans="2:12" ht="15.95" customHeight="1" x14ac:dyDescent="0.2">
      <c r="B455" s="105"/>
      <c r="H455" s="443"/>
      <c r="I455" s="443"/>
      <c r="J455" s="105"/>
      <c r="K455" s="105"/>
      <c r="L455" s="105"/>
    </row>
    <row r="456" spans="2:12" ht="15.95" customHeight="1" x14ac:dyDescent="0.2">
      <c r="B456" s="105"/>
      <c r="H456" s="443"/>
      <c r="I456" s="443"/>
      <c r="J456" s="105"/>
      <c r="K456" s="105"/>
      <c r="L456" s="105"/>
    </row>
    <row r="457" spans="2:12" ht="15.95" customHeight="1" x14ac:dyDescent="0.2">
      <c r="B457" s="105"/>
      <c r="H457" s="443"/>
      <c r="I457" s="443"/>
      <c r="J457" s="105"/>
      <c r="K457" s="105"/>
      <c r="L457" s="105"/>
    </row>
    <row r="458" spans="2:12" ht="15.95" customHeight="1" x14ac:dyDescent="0.2">
      <c r="B458" s="105"/>
      <c r="H458" s="443"/>
      <c r="I458" s="443"/>
      <c r="J458" s="105"/>
      <c r="K458" s="105"/>
      <c r="L458" s="105"/>
    </row>
    <row r="459" spans="2:12" ht="15.95" customHeight="1" x14ac:dyDescent="0.2">
      <c r="B459" s="105"/>
      <c r="H459" s="443"/>
      <c r="I459" s="443"/>
      <c r="J459" s="105"/>
      <c r="K459" s="105"/>
      <c r="L459" s="105"/>
    </row>
    <row r="460" spans="2:12" ht="15.95" customHeight="1" x14ac:dyDescent="0.2">
      <c r="B460" s="105"/>
      <c r="H460" s="443"/>
      <c r="I460" s="443"/>
      <c r="J460" s="105"/>
      <c r="K460" s="105"/>
      <c r="L460" s="105"/>
    </row>
    <row r="461" spans="2:12" ht="15.95" customHeight="1" x14ac:dyDescent="0.2">
      <c r="B461" s="105"/>
      <c r="H461" s="443"/>
      <c r="I461" s="443"/>
      <c r="J461" s="105"/>
      <c r="K461" s="105"/>
      <c r="L461" s="105"/>
    </row>
    <row r="462" spans="2:12" ht="15.95" customHeight="1" x14ac:dyDescent="0.2">
      <c r="B462" s="105"/>
      <c r="H462" s="443"/>
      <c r="I462" s="443"/>
      <c r="J462" s="105"/>
      <c r="K462" s="105"/>
      <c r="L462" s="105"/>
    </row>
    <row r="463" spans="2:12" ht="15.95" customHeight="1" x14ac:dyDescent="0.2">
      <c r="B463" s="105"/>
      <c r="H463" s="443"/>
      <c r="I463" s="443"/>
      <c r="J463" s="105"/>
      <c r="K463" s="105"/>
      <c r="L463" s="105"/>
    </row>
    <row r="464" spans="2:12" ht="15.95" customHeight="1" x14ac:dyDescent="0.2">
      <c r="B464" s="105"/>
      <c r="H464" s="443"/>
      <c r="I464" s="443"/>
      <c r="J464" s="105"/>
      <c r="K464" s="105"/>
      <c r="L464" s="105"/>
    </row>
    <row r="465" spans="2:12" ht="15.95" customHeight="1" x14ac:dyDescent="0.2">
      <c r="B465" s="105"/>
      <c r="H465" s="443"/>
      <c r="I465" s="443"/>
      <c r="J465" s="105"/>
      <c r="K465" s="105"/>
      <c r="L465" s="105"/>
    </row>
    <row r="466" spans="2:12" ht="15.95" customHeight="1" x14ac:dyDescent="0.2">
      <c r="B466" s="105"/>
      <c r="H466" s="443"/>
      <c r="I466" s="443"/>
      <c r="J466" s="105"/>
      <c r="K466" s="105"/>
      <c r="L466" s="105"/>
    </row>
    <row r="467" spans="2:12" ht="15.95" customHeight="1" x14ac:dyDescent="0.2">
      <c r="B467" s="105"/>
      <c r="H467" s="443"/>
      <c r="I467" s="443"/>
      <c r="J467" s="105"/>
      <c r="K467" s="105"/>
      <c r="L467" s="105"/>
    </row>
    <row r="468" spans="2:12" ht="15.95" customHeight="1" x14ac:dyDescent="0.2">
      <c r="B468" s="105"/>
      <c r="H468" s="443"/>
      <c r="I468" s="443"/>
      <c r="J468" s="105"/>
      <c r="K468" s="105"/>
      <c r="L468" s="105"/>
    </row>
    <row r="469" spans="2:12" ht="15.95" customHeight="1" x14ac:dyDescent="0.2">
      <c r="B469" s="105"/>
      <c r="H469" s="443"/>
      <c r="I469" s="443"/>
      <c r="J469" s="105"/>
      <c r="K469" s="105"/>
      <c r="L469" s="105"/>
    </row>
    <row r="470" spans="2:12" ht="15.95" customHeight="1" x14ac:dyDescent="0.2">
      <c r="B470" s="105"/>
      <c r="H470" s="443"/>
      <c r="I470" s="443"/>
      <c r="J470" s="105"/>
      <c r="K470" s="105"/>
      <c r="L470" s="105"/>
    </row>
    <row r="471" spans="2:12" ht="15.95" customHeight="1" x14ac:dyDescent="0.2">
      <c r="B471" s="105"/>
      <c r="H471" s="443"/>
      <c r="I471" s="443"/>
      <c r="J471" s="105"/>
      <c r="K471" s="105"/>
      <c r="L471" s="105"/>
    </row>
    <row r="472" spans="2:12" ht="15.95" customHeight="1" x14ac:dyDescent="0.2">
      <c r="B472" s="105"/>
      <c r="H472" s="443"/>
      <c r="I472" s="443"/>
      <c r="J472" s="105"/>
      <c r="K472" s="105"/>
      <c r="L472" s="105"/>
    </row>
    <row r="473" spans="2:12" ht="15.95" customHeight="1" x14ac:dyDescent="0.2">
      <c r="B473" s="105"/>
      <c r="H473" s="443"/>
      <c r="I473" s="443"/>
      <c r="J473" s="105"/>
      <c r="K473" s="105"/>
      <c r="L473" s="105"/>
    </row>
    <row r="474" spans="2:12" ht="15.95" customHeight="1" x14ac:dyDescent="0.2">
      <c r="B474" s="105"/>
      <c r="H474" s="443"/>
      <c r="I474" s="443"/>
      <c r="J474" s="105"/>
      <c r="K474" s="105"/>
      <c r="L474" s="105"/>
    </row>
    <row r="475" spans="2:12" ht="15.95" customHeight="1" x14ac:dyDescent="0.2">
      <c r="B475" s="105"/>
      <c r="H475" s="443"/>
      <c r="I475" s="443"/>
      <c r="J475" s="105"/>
      <c r="K475" s="105"/>
      <c r="L475" s="105"/>
    </row>
    <row r="476" spans="2:12" ht="15.95" customHeight="1" x14ac:dyDescent="0.2">
      <c r="B476" s="105"/>
      <c r="H476" s="443"/>
      <c r="I476" s="443"/>
      <c r="J476" s="105"/>
      <c r="K476" s="105"/>
      <c r="L476" s="105"/>
    </row>
    <row r="477" spans="2:12" ht="15.95" customHeight="1" x14ac:dyDescent="0.2">
      <c r="B477" s="105"/>
      <c r="H477" s="443"/>
      <c r="I477" s="443"/>
      <c r="J477" s="105"/>
      <c r="K477" s="105"/>
      <c r="L477" s="105"/>
    </row>
    <row r="478" spans="2:12" ht="15.95" customHeight="1" x14ac:dyDescent="0.2">
      <c r="B478" s="105"/>
      <c r="H478" s="443"/>
      <c r="I478" s="443"/>
      <c r="J478" s="105"/>
      <c r="K478" s="105"/>
      <c r="L478" s="105"/>
    </row>
    <row r="479" spans="2:12" ht="15.95" customHeight="1" x14ac:dyDescent="0.2">
      <c r="B479" s="105"/>
      <c r="H479" s="443"/>
      <c r="I479" s="443"/>
      <c r="J479" s="105"/>
      <c r="K479" s="105"/>
      <c r="L479" s="105"/>
    </row>
    <row r="480" spans="2:12" ht="15.95" customHeight="1" x14ac:dyDescent="0.2">
      <c r="B480" s="105"/>
      <c r="H480" s="443"/>
      <c r="I480" s="443"/>
      <c r="J480" s="105"/>
      <c r="K480" s="105"/>
      <c r="L480" s="105"/>
    </row>
    <row r="481" spans="2:12" ht="15.95" customHeight="1" x14ac:dyDescent="0.2">
      <c r="B481" s="105"/>
      <c r="H481" s="443"/>
      <c r="I481" s="443"/>
      <c r="J481" s="105"/>
      <c r="K481" s="105"/>
      <c r="L481" s="105"/>
    </row>
    <row r="482" spans="2:12" ht="15.95" customHeight="1" x14ac:dyDescent="0.2">
      <c r="B482" s="105"/>
      <c r="H482" s="443"/>
      <c r="I482" s="443"/>
      <c r="J482" s="105"/>
      <c r="K482" s="105"/>
      <c r="L482" s="105"/>
    </row>
    <row r="483" spans="2:12" ht="15.95" customHeight="1" x14ac:dyDescent="0.2">
      <c r="B483" s="105"/>
      <c r="H483" s="443"/>
      <c r="I483" s="443"/>
      <c r="J483" s="105"/>
      <c r="K483" s="105"/>
      <c r="L483" s="105"/>
    </row>
    <row r="484" spans="2:12" ht="15.95" customHeight="1" x14ac:dyDescent="0.2">
      <c r="B484" s="105"/>
      <c r="H484" s="443"/>
      <c r="I484" s="443"/>
      <c r="J484" s="105"/>
      <c r="K484" s="105"/>
      <c r="L484" s="105"/>
    </row>
    <row r="485" spans="2:12" ht="15.95" customHeight="1" x14ac:dyDescent="0.2">
      <c r="B485" s="105"/>
      <c r="H485" s="443"/>
      <c r="I485" s="443"/>
      <c r="J485" s="105"/>
      <c r="K485" s="105"/>
      <c r="L485" s="105"/>
    </row>
    <row r="486" spans="2:12" ht="15.95" customHeight="1" x14ac:dyDescent="0.2">
      <c r="B486" s="105"/>
      <c r="H486" s="443"/>
      <c r="I486" s="443"/>
      <c r="J486" s="105"/>
      <c r="K486" s="105"/>
      <c r="L486" s="105"/>
    </row>
    <row r="487" spans="2:12" ht="15.95" customHeight="1" x14ac:dyDescent="0.2">
      <c r="B487" s="105"/>
      <c r="H487" s="443"/>
      <c r="I487" s="443"/>
      <c r="J487" s="105"/>
      <c r="K487" s="105"/>
      <c r="L487" s="105"/>
    </row>
    <row r="488" spans="2:12" ht="15.95" customHeight="1" x14ac:dyDescent="0.2">
      <c r="B488" s="105"/>
      <c r="H488" s="443"/>
      <c r="I488" s="443"/>
      <c r="J488" s="105"/>
      <c r="K488" s="105"/>
      <c r="L488" s="105"/>
    </row>
    <row r="489" spans="2:12" ht="15.95" customHeight="1" x14ac:dyDescent="0.2">
      <c r="B489" s="105"/>
      <c r="H489" s="443"/>
      <c r="I489" s="443"/>
      <c r="J489" s="105"/>
      <c r="K489" s="105"/>
      <c r="L489" s="105"/>
    </row>
    <row r="490" spans="2:12" ht="15.95" customHeight="1" x14ac:dyDescent="0.2">
      <c r="B490" s="105"/>
      <c r="H490" s="443"/>
      <c r="I490" s="443"/>
      <c r="J490" s="105"/>
      <c r="K490" s="105"/>
      <c r="L490" s="105"/>
    </row>
    <row r="491" spans="2:12" ht="15.95" customHeight="1" x14ac:dyDescent="0.2">
      <c r="B491" s="105"/>
      <c r="H491" s="443"/>
      <c r="I491" s="443"/>
      <c r="J491" s="105"/>
      <c r="K491" s="105"/>
      <c r="L491" s="105"/>
    </row>
    <row r="492" spans="2:12" ht="15.95" customHeight="1" x14ac:dyDescent="0.2">
      <c r="B492" s="105"/>
      <c r="H492" s="443"/>
      <c r="I492" s="443"/>
      <c r="J492" s="105"/>
      <c r="K492" s="105"/>
      <c r="L492" s="105"/>
    </row>
    <row r="493" spans="2:12" ht="15.95" customHeight="1" x14ac:dyDescent="0.2">
      <c r="B493" s="105"/>
      <c r="H493" s="443"/>
      <c r="I493" s="443"/>
      <c r="J493" s="105"/>
      <c r="K493" s="105"/>
      <c r="L493" s="105"/>
    </row>
    <row r="494" spans="2:12" ht="15.95" customHeight="1" x14ac:dyDescent="0.2">
      <c r="B494" s="105"/>
      <c r="H494" s="443"/>
      <c r="I494" s="443"/>
      <c r="J494" s="105"/>
      <c r="K494" s="105"/>
      <c r="L494" s="105"/>
    </row>
    <row r="495" spans="2:12" ht="15.95" customHeight="1" x14ac:dyDescent="0.2">
      <c r="B495" s="105"/>
      <c r="H495" s="443"/>
      <c r="I495" s="443"/>
      <c r="J495" s="105"/>
      <c r="K495" s="105"/>
      <c r="L495" s="105"/>
    </row>
    <row r="496" spans="2:12" ht="15.95" customHeight="1" x14ac:dyDescent="0.2">
      <c r="B496" s="105"/>
      <c r="H496" s="443"/>
      <c r="I496" s="443"/>
      <c r="J496" s="105"/>
      <c r="K496" s="105"/>
      <c r="L496" s="105"/>
    </row>
    <row r="497" spans="2:12" ht="15.95" customHeight="1" x14ac:dyDescent="0.2">
      <c r="B497" s="105"/>
      <c r="H497" s="443"/>
      <c r="I497" s="443"/>
      <c r="J497" s="105"/>
      <c r="K497" s="105"/>
      <c r="L497" s="105"/>
    </row>
    <row r="498" spans="2:12" ht="15.95" customHeight="1" x14ac:dyDescent="0.2">
      <c r="B498" s="105"/>
      <c r="H498" s="443"/>
      <c r="I498" s="443"/>
      <c r="J498" s="105"/>
      <c r="K498" s="105"/>
      <c r="L498" s="105"/>
    </row>
    <row r="499" spans="2:12" ht="15.95" customHeight="1" x14ac:dyDescent="0.2">
      <c r="B499" s="105"/>
      <c r="H499" s="443"/>
      <c r="I499" s="443"/>
      <c r="J499" s="105"/>
      <c r="K499" s="105"/>
      <c r="L499" s="105"/>
    </row>
    <row r="500" spans="2:12" ht="15.95" customHeight="1" x14ac:dyDescent="0.2">
      <c r="B500" s="105"/>
      <c r="H500" s="443"/>
      <c r="I500" s="443"/>
      <c r="J500" s="105"/>
      <c r="K500" s="105"/>
      <c r="L500" s="105"/>
    </row>
    <row r="501" spans="2:12" ht="15.95" customHeight="1" x14ac:dyDescent="0.2">
      <c r="B501" s="105"/>
      <c r="H501" s="443"/>
      <c r="I501" s="443"/>
      <c r="J501" s="105"/>
      <c r="K501" s="105"/>
      <c r="L501" s="105"/>
    </row>
    <row r="502" spans="2:12" ht="15.95" customHeight="1" x14ac:dyDescent="0.2">
      <c r="B502" s="105"/>
      <c r="H502" s="443"/>
      <c r="I502" s="443"/>
      <c r="J502" s="105"/>
      <c r="K502" s="105"/>
      <c r="L502" s="105"/>
    </row>
    <row r="503" spans="2:12" ht="15.95" customHeight="1" x14ac:dyDescent="0.2">
      <c r="B503" s="105"/>
      <c r="H503" s="443"/>
      <c r="I503" s="443"/>
      <c r="J503" s="105"/>
      <c r="K503" s="105"/>
      <c r="L503" s="105"/>
    </row>
    <row r="504" spans="2:12" ht="15.95" customHeight="1" x14ac:dyDescent="0.2">
      <c r="B504" s="105"/>
      <c r="H504" s="443"/>
      <c r="I504" s="443"/>
      <c r="J504" s="105"/>
      <c r="K504" s="105"/>
      <c r="L504" s="105"/>
    </row>
    <row r="505" spans="2:12" ht="15.95" customHeight="1" x14ac:dyDescent="0.2">
      <c r="B505" s="105"/>
      <c r="H505" s="443"/>
      <c r="I505" s="443"/>
      <c r="J505" s="105"/>
      <c r="K505" s="105"/>
      <c r="L505" s="105"/>
    </row>
    <row r="506" spans="2:12" ht="15.95" customHeight="1" x14ac:dyDescent="0.2">
      <c r="B506" s="105"/>
      <c r="H506" s="443"/>
      <c r="I506" s="443"/>
      <c r="J506" s="105"/>
      <c r="K506" s="105"/>
      <c r="L506" s="105"/>
    </row>
    <row r="507" spans="2:12" ht="15.95" customHeight="1" x14ac:dyDescent="0.2">
      <c r="B507" s="105"/>
      <c r="H507" s="443"/>
      <c r="I507" s="443"/>
      <c r="J507" s="105"/>
      <c r="K507" s="105"/>
      <c r="L507" s="105"/>
    </row>
    <row r="508" spans="2:12" ht="15.95" customHeight="1" x14ac:dyDescent="0.2">
      <c r="B508" s="105"/>
      <c r="H508" s="443"/>
      <c r="I508" s="443"/>
      <c r="J508" s="105"/>
      <c r="K508" s="105"/>
      <c r="L508" s="105"/>
    </row>
    <row r="509" spans="2:12" ht="15.95" customHeight="1" x14ac:dyDescent="0.2">
      <c r="B509" s="105"/>
      <c r="H509" s="443"/>
      <c r="I509" s="443"/>
      <c r="J509" s="105"/>
      <c r="K509" s="105"/>
      <c r="L509" s="105"/>
    </row>
    <row r="510" spans="2:12" ht="15.95" customHeight="1" x14ac:dyDescent="0.2">
      <c r="B510" s="105"/>
      <c r="H510" s="443"/>
      <c r="I510" s="443"/>
      <c r="J510" s="105"/>
      <c r="K510" s="105"/>
      <c r="L510" s="105"/>
    </row>
    <row r="511" spans="2:12" ht="15.95" customHeight="1" x14ac:dyDescent="0.2">
      <c r="B511" s="105"/>
      <c r="H511" s="443"/>
      <c r="I511" s="443"/>
      <c r="J511" s="105"/>
      <c r="K511" s="105"/>
      <c r="L511" s="105"/>
    </row>
    <row r="512" spans="2:12" ht="15.95" customHeight="1" x14ac:dyDescent="0.2">
      <c r="B512" s="105"/>
      <c r="H512" s="443"/>
      <c r="I512" s="443"/>
      <c r="J512" s="105"/>
      <c r="K512" s="105"/>
      <c r="L512" s="105"/>
    </row>
    <row r="513" spans="2:12" ht="15.95" customHeight="1" x14ac:dyDescent="0.2">
      <c r="B513" s="105"/>
      <c r="H513" s="443"/>
      <c r="I513" s="443"/>
      <c r="J513" s="105"/>
      <c r="K513" s="105"/>
      <c r="L513" s="105"/>
    </row>
    <row r="514" spans="2:12" ht="15.95" customHeight="1" x14ac:dyDescent="0.2">
      <c r="B514" s="105"/>
      <c r="H514" s="443"/>
      <c r="I514" s="443"/>
      <c r="J514" s="105"/>
      <c r="K514" s="105"/>
      <c r="L514" s="105"/>
    </row>
    <row r="515" spans="2:12" ht="15.95" customHeight="1" x14ac:dyDescent="0.2">
      <c r="B515" s="105"/>
      <c r="H515" s="443"/>
      <c r="I515" s="443"/>
      <c r="J515" s="105"/>
      <c r="K515" s="105"/>
      <c r="L515" s="105"/>
    </row>
    <row r="516" spans="2:12" ht="15.95" customHeight="1" x14ac:dyDescent="0.2">
      <c r="B516" s="105"/>
      <c r="H516" s="443"/>
      <c r="I516" s="443"/>
      <c r="J516" s="105"/>
      <c r="K516" s="105"/>
      <c r="L516" s="105"/>
    </row>
    <row r="517" spans="2:12" ht="15.95" customHeight="1" x14ac:dyDescent="0.2">
      <c r="B517" s="105"/>
      <c r="H517" s="443"/>
      <c r="I517" s="443"/>
      <c r="J517" s="105"/>
      <c r="K517" s="105"/>
      <c r="L517" s="105"/>
    </row>
    <row r="518" spans="2:12" ht="15.95" customHeight="1" x14ac:dyDescent="0.2">
      <c r="B518" s="105"/>
      <c r="H518" s="443"/>
      <c r="I518" s="443"/>
      <c r="J518" s="105"/>
      <c r="K518" s="105"/>
      <c r="L518" s="105"/>
    </row>
    <row r="519" spans="2:12" ht="15.95" customHeight="1" x14ac:dyDescent="0.2">
      <c r="B519" s="105"/>
      <c r="H519" s="443"/>
      <c r="I519" s="443"/>
      <c r="J519" s="105"/>
      <c r="K519" s="105"/>
      <c r="L519" s="105"/>
    </row>
    <row r="520" spans="2:12" ht="15.95" customHeight="1" x14ac:dyDescent="0.2">
      <c r="B520" s="105"/>
      <c r="H520" s="443"/>
      <c r="I520" s="443"/>
      <c r="J520" s="105"/>
      <c r="K520" s="105"/>
      <c r="L520" s="105"/>
    </row>
    <row r="521" spans="2:12" ht="15.95" customHeight="1" x14ac:dyDescent="0.2">
      <c r="B521" s="105"/>
      <c r="H521" s="443"/>
      <c r="I521" s="443"/>
      <c r="J521" s="105"/>
      <c r="K521" s="105"/>
      <c r="L521" s="105"/>
    </row>
    <row r="522" spans="2:12" ht="15.95" customHeight="1" x14ac:dyDescent="0.2">
      <c r="B522" s="105"/>
      <c r="H522" s="443"/>
      <c r="I522" s="443"/>
      <c r="J522" s="105"/>
      <c r="K522" s="105"/>
      <c r="L522" s="105"/>
    </row>
    <row r="523" spans="2:12" ht="15.95" customHeight="1" x14ac:dyDescent="0.2">
      <c r="B523" s="105"/>
      <c r="H523" s="443"/>
      <c r="I523" s="443"/>
      <c r="J523" s="105"/>
      <c r="K523" s="105"/>
      <c r="L523" s="105"/>
    </row>
    <row r="524" spans="2:12" ht="15.95" customHeight="1" x14ac:dyDescent="0.2">
      <c r="B524" s="105"/>
      <c r="H524" s="443"/>
      <c r="I524" s="443"/>
      <c r="J524" s="105"/>
      <c r="K524" s="105"/>
      <c r="L524" s="105"/>
    </row>
    <row r="525" spans="2:12" ht="15.95" customHeight="1" x14ac:dyDescent="0.2">
      <c r="B525" s="105"/>
      <c r="H525" s="443"/>
      <c r="I525" s="443"/>
      <c r="J525" s="105"/>
      <c r="K525" s="105"/>
      <c r="L525" s="105"/>
    </row>
    <row r="526" spans="2:12" ht="15.95" customHeight="1" x14ac:dyDescent="0.2">
      <c r="B526" s="105"/>
      <c r="H526" s="443"/>
      <c r="I526" s="443"/>
      <c r="J526" s="105"/>
      <c r="K526" s="105"/>
      <c r="L526" s="105"/>
    </row>
    <row r="527" spans="2:12" ht="15.95" customHeight="1" x14ac:dyDescent="0.2">
      <c r="B527" s="105"/>
      <c r="H527" s="443"/>
      <c r="I527" s="443"/>
      <c r="J527" s="105"/>
      <c r="K527" s="105"/>
      <c r="L527" s="105"/>
    </row>
    <row r="528" spans="2:12" ht="15.95" customHeight="1" x14ac:dyDescent="0.2">
      <c r="B528" s="105"/>
      <c r="H528" s="443"/>
      <c r="I528" s="443"/>
      <c r="J528" s="105"/>
      <c r="K528" s="105"/>
      <c r="L528" s="105"/>
    </row>
    <row r="529" spans="2:12" ht="15.95" customHeight="1" x14ac:dyDescent="0.2">
      <c r="B529" s="105"/>
      <c r="H529" s="443"/>
      <c r="I529" s="443"/>
      <c r="J529" s="105"/>
      <c r="K529" s="105"/>
      <c r="L529" s="105"/>
    </row>
    <row r="530" spans="2:12" ht="15.95" customHeight="1" x14ac:dyDescent="0.2">
      <c r="B530" s="105"/>
      <c r="H530" s="443"/>
      <c r="I530" s="443"/>
      <c r="J530" s="105"/>
      <c r="K530" s="105"/>
      <c r="L530" s="105"/>
    </row>
    <row r="531" spans="2:12" ht="15.95" customHeight="1" x14ac:dyDescent="0.2">
      <c r="B531" s="105"/>
      <c r="H531" s="443"/>
      <c r="I531" s="443"/>
      <c r="J531" s="105"/>
      <c r="K531" s="105"/>
      <c r="L531" s="105"/>
    </row>
    <row r="532" spans="2:12" ht="15.95" customHeight="1" x14ac:dyDescent="0.2">
      <c r="B532" s="105"/>
      <c r="H532" s="443"/>
      <c r="I532" s="443"/>
      <c r="J532" s="105"/>
      <c r="K532" s="105"/>
      <c r="L532" s="105"/>
    </row>
    <row r="533" spans="2:12" ht="15.95" customHeight="1" x14ac:dyDescent="0.2">
      <c r="B533" s="105"/>
      <c r="H533" s="443"/>
      <c r="I533" s="443"/>
      <c r="J533" s="105"/>
      <c r="K533" s="105"/>
      <c r="L533" s="105"/>
    </row>
    <row r="534" spans="2:12" ht="15.95" customHeight="1" x14ac:dyDescent="0.2">
      <c r="B534" s="105"/>
      <c r="H534" s="443"/>
      <c r="I534" s="443"/>
      <c r="J534" s="105"/>
      <c r="K534" s="105"/>
      <c r="L534" s="105"/>
    </row>
    <row r="535" spans="2:12" ht="15.95" customHeight="1" x14ac:dyDescent="0.2">
      <c r="B535" s="105"/>
      <c r="H535" s="443"/>
      <c r="I535" s="443"/>
      <c r="J535" s="105"/>
      <c r="K535" s="105"/>
      <c r="L535" s="105"/>
    </row>
    <row r="536" spans="2:12" ht="15.95" customHeight="1" x14ac:dyDescent="0.2">
      <c r="B536" s="105"/>
      <c r="H536" s="443"/>
      <c r="I536" s="443"/>
      <c r="J536" s="105"/>
      <c r="K536" s="105"/>
      <c r="L536" s="105"/>
    </row>
    <row r="537" spans="2:12" ht="15.95" customHeight="1" x14ac:dyDescent="0.2">
      <c r="B537" s="105"/>
      <c r="H537" s="443"/>
      <c r="I537" s="443"/>
      <c r="J537" s="105"/>
      <c r="K537" s="105"/>
      <c r="L537" s="105"/>
    </row>
    <row r="538" spans="2:12" ht="15.95" customHeight="1" x14ac:dyDescent="0.2">
      <c r="B538" s="105"/>
      <c r="H538" s="443"/>
      <c r="I538" s="443"/>
      <c r="J538" s="105"/>
      <c r="K538" s="105"/>
      <c r="L538" s="105"/>
    </row>
    <row r="539" spans="2:12" ht="15.95" customHeight="1" x14ac:dyDescent="0.2">
      <c r="B539" s="105"/>
      <c r="H539" s="443"/>
      <c r="I539" s="443"/>
      <c r="J539" s="105"/>
      <c r="K539" s="105"/>
      <c r="L539" s="105"/>
    </row>
    <row r="540" spans="2:12" ht="15.95" customHeight="1" x14ac:dyDescent="0.2">
      <c r="B540" s="105"/>
      <c r="H540" s="443"/>
      <c r="I540" s="443"/>
      <c r="J540" s="105"/>
      <c r="K540" s="105"/>
      <c r="L540" s="105"/>
    </row>
    <row r="541" spans="2:12" ht="15.95" customHeight="1" x14ac:dyDescent="0.2">
      <c r="B541" s="105"/>
      <c r="H541" s="443"/>
      <c r="I541" s="443"/>
      <c r="J541" s="105"/>
      <c r="K541" s="105"/>
      <c r="L541" s="105"/>
    </row>
    <row r="542" spans="2:12" ht="15.95" customHeight="1" x14ac:dyDescent="0.2">
      <c r="B542" s="105"/>
      <c r="H542" s="443"/>
      <c r="I542" s="443"/>
      <c r="J542" s="105"/>
      <c r="K542" s="105"/>
      <c r="L542" s="105"/>
    </row>
    <row r="543" spans="2:12" ht="15.95" customHeight="1" x14ac:dyDescent="0.2">
      <c r="B543" s="105"/>
      <c r="H543" s="443"/>
      <c r="I543" s="443"/>
      <c r="J543" s="105"/>
      <c r="K543" s="105"/>
      <c r="L543" s="105"/>
    </row>
    <row r="544" spans="2:12" ht="15.95" customHeight="1" x14ac:dyDescent="0.2">
      <c r="B544" s="105"/>
      <c r="H544" s="443"/>
      <c r="I544" s="443"/>
      <c r="J544" s="105"/>
      <c r="K544" s="105"/>
      <c r="L544" s="105"/>
    </row>
    <row r="545" spans="2:12" ht="15.95" customHeight="1" x14ac:dyDescent="0.2">
      <c r="B545" s="105"/>
      <c r="H545" s="443"/>
      <c r="I545" s="443"/>
      <c r="J545" s="105"/>
      <c r="K545" s="105"/>
      <c r="L545" s="105"/>
    </row>
    <row r="546" spans="2:12" ht="15.95" customHeight="1" x14ac:dyDescent="0.2">
      <c r="B546" s="105"/>
      <c r="H546" s="443"/>
      <c r="I546" s="443"/>
      <c r="J546" s="105"/>
      <c r="K546" s="105"/>
      <c r="L546" s="105"/>
    </row>
    <row r="547" spans="2:12" ht="15.95" customHeight="1" x14ac:dyDescent="0.2">
      <c r="B547" s="105"/>
      <c r="H547" s="443"/>
      <c r="I547" s="443"/>
      <c r="J547" s="105"/>
      <c r="K547" s="105"/>
      <c r="L547" s="105"/>
    </row>
    <row r="548" spans="2:12" ht="15.95" customHeight="1" x14ac:dyDescent="0.2">
      <c r="B548" s="105"/>
      <c r="H548" s="443"/>
      <c r="I548" s="443"/>
      <c r="J548" s="105"/>
      <c r="K548" s="105"/>
      <c r="L548" s="105"/>
    </row>
    <row r="549" spans="2:12" ht="15.95" customHeight="1" x14ac:dyDescent="0.2">
      <c r="B549" s="105"/>
      <c r="H549" s="443"/>
      <c r="I549" s="443"/>
      <c r="J549" s="105"/>
      <c r="K549" s="105"/>
      <c r="L549" s="105"/>
    </row>
    <row r="550" spans="2:12" ht="15.95" customHeight="1" x14ac:dyDescent="0.2">
      <c r="B550" s="105"/>
      <c r="H550" s="443"/>
      <c r="I550" s="443"/>
      <c r="J550" s="105"/>
      <c r="K550" s="105"/>
      <c r="L550" s="105"/>
    </row>
    <row r="551" spans="2:12" ht="15.95" customHeight="1" x14ac:dyDescent="0.2">
      <c r="B551" s="105"/>
      <c r="H551" s="443"/>
      <c r="I551" s="443"/>
      <c r="J551" s="105"/>
      <c r="K551" s="105"/>
      <c r="L551" s="105"/>
    </row>
    <row r="552" spans="2:12" ht="15.95" customHeight="1" x14ac:dyDescent="0.2">
      <c r="B552" s="105"/>
      <c r="H552" s="443"/>
      <c r="I552" s="443"/>
      <c r="J552" s="105"/>
      <c r="K552" s="105"/>
      <c r="L552" s="105"/>
    </row>
    <row r="553" spans="2:12" ht="15.95" customHeight="1" x14ac:dyDescent="0.2">
      <c r="B553" s="105"/>
      <c r="H553" s="443"/>
      <c r="I553" s="443"/>
      <c r="J553" s="105"/>
      <c r="K553" s="105"/>
      <c r="L553" s="105"/>
    </row>
    <row r="554" spans="2:12" ht="15.95" customHeight="1" x14ac:dyDescent="0.2">
      <c r="B554" s="105"/>
      <c r="H554" s="443"/>
      <c r="I554" s="443"/>
      <c r="J554" s="105"/>
      <c r="K554" s="105"/>
      <c r="L554" s="105"/>
    </row>
    <row r="555" spans="2:12" ht="15.95" customHeight="1" x14ac:dyDescent="0.2">
      <c r="B555" s="105"/>
      <c r="H555" s="443"/>
      <c r="I555" s="443"/>
      <c r="J555" s="105"/>
      <c r="K555" s="105"/>
      <c r="L555" s="105"/>
    </row>
    <row r="556" spans="2:12" ht="15.95" customHeight="1" x14ac:dyDescent="0.2">
      <c r="B556" s="105"/>
      <c r="H556" s="443"/>
      <c r="I556" s="443"/>
      <c r="J556" s="105"/>
      <c r="K556" s="105"/>
      <c r="L556" s="105"/>
    </row>
    <row r="557" spans="2:12" ht="15.95" customHeight="1" x14ac:dyDescent="0.2">
      <c r="B557" s="105"/>
      <c r="H557" s="443"/>
      <c r="I557" s="443"/>
      <c r="J557" s="105"/>
      <c r="K557" s="105"/>
      <c r="L557" s="105"/>
    </row>
    <row r="558" spans="2:12" ht="15.95" customHeight="1" x14ac:dyDescent="0.2">
      <c r="B558" s="105"/>
      <c r="H558" s="443"/>
      <c r="I558" s="443"/>
      <c r="J558" s="105"/>
      <c r="K558" s="105"/>
      <c r="L558" s="105"/>
    </row>
    <row r="559" spans="2:12" ht="15.95" customHeight="1" x14ac:dyDescent="0.2">
      <c r="B559" s="105"/>
      <c r="H559" s="443"/>
      <c r="I559" s="443"/>
      <c r="J559" s="105"/>
      <c r="K559" s="105"/>
      <c r="L559" s="105"/>
    </row>
    <row r="560" spans="2:12" ht="15.95" customHeight="1" x14ac:dyDescent="0.2">
      <c r="B560" s="105"/>
      <c r="H560" s="443"/>
      <c r="I560" s="443"/>
      <c r="J560" s="105"/>
      <c r="K560" s="105"/>
      <c r="L560" s="105"/>
    </row>
    <row r="561" spans="2:12" ht="15.95" customHeight="1" x14ac:dyDescent="0.2">
      <c r="B561" s="105"/>
      <c r="H561" s="443"/>
      <c r="I561" s="443"/>
      <c r="J561" s="105"/>
      <c r="K561" s="105"/>
      <c r="L561" s="105"/>
    </row>
    <row r="562" spans="2:12" ht="15.95" customHeight="1" x14ac:dyDescent="0.2">
      <c r="B562" s="105"/>
      <c r="H562" s="443"/>
      <c r="I562" s="443"/>
      <c r="J562" s="105"/>
      <c r="K562" s="105"/>
      <c r="L562" s="105"/>
    </row>
    <row r="563" spans="2:12" ht="15.95" customHeight="1" x14ac:dyDescent="0.2">
      <c r="B563" s="105"/>
      <c r="H563" s="443"/>
      <c r="I563" s="443"/>
      <c r="J563" s="105"/>
      <c r="K563" s="105"/>
      <c r="L563" s="105"/>
    </row>
    <row r="564" spans="2:12" ht="15.95" customHeight="1" x14ac:dyDescent="0.2">
      <c r="B564" s="105"/>
      <c r="H564" s="443"/>
      <c r="I564" s="443"/>
      <c r="J564" s="105"/>
      <c r="K564" s="105"/>
      <c r="L564" s="105"/>
    </row>
    <row r="565" spans="2:12" ht="15.95" customHeight="1" x14ac:dyDescent="0.2">
      <c r="B565" s="105"/>
      <c r="H565" s="443"/>
      <c r="I565" s="443"/>
      <c r="J565" s="105"/>
      <c r="K565" s="105"/>
      <c r="L565" s="105"/>
    </row>
    <row r="566" spans="2:12" ht="15.95" customHeight="1" x14ac:dyDescent="0.2">
      <c r="B566" s="105"/>
      <c r="H566" s="443"/>
      <c r="I566" s="443"/>
      <c r="J566" s="105"/>
      <c r="K566" s="105"/>
      <c r="L566" s="105"/>
    </row>
    <row r="567" spans="2:12" ht="15.95" customHeight="1" x14ac:dyDescent="0.2">
      <c r="B567" s="105"/>
      <c r="H567" s="443"/>
      <c r="I567" s="443"/>
      <c r="J567" s="105"/>
      <c r="K567" s="105"/>
      <c r="L567" s="105"/>
    </row>
    <row r="568" spans="2:12" ht="15.95" customHeight="1" x14ac:dyDescent="0.2">
      <c r="B568" s="105"/>
      <c r="H568" s="443"/>
      <c r="I568" s="443"/>
      <c r="J568" s="105"/>
      <c r="K568" s="105"/>
      <c r="L568" s="105"/>
    </row>
    <row r="569" spans="2:12" ht="15.95" customHeight="1" x14ac:dyDescent="0.2">
      <c r="B569" s="105"/>
      <c r="H569" s="443"/>
      <c r="I569" s="443"/>
      <c r="J569" s="105"/>
      <c r="K569" s="105"/>
      <c r="L569" s="105"/>
    </row>
    <row r="570" spans="2:12" ht="15.95" customHeight="1" x14ac:dyDescent="0.2">
      <c r="B570" s="105"/>
      <c r="H570" s="443"/>
      <c r="I570" s="443"/>
      <c r="J570" s="105"/>
      <c r="K570" s="105"/>
      <c r="L570" s="105"/>
    </row>
    <row r="571" spans="2:12" ht="15.95" customHeight="1" x14ac:dyDescent="0.2">
      <c r="B571" s="105"/>
      <c r="H571" s="443"/>
      <c r="I571" s="443"/>
      <c r="J571" s="105"/>
      <c r="K571" s="105"/>
      <c r="L571" s="105"/>
    </row>
    <row r="572" spans="2:12" ht="15.95" customHeight="1" x14ac:dyDescent="0.2">
      <c r="B572" s="105"/>
      <c r="H572" s="443"/>
      <c r="I572" s="443"/>
      <c r="J572" s="105"/>
      <c r="K572" s="105"/>
      <c r="L572" s="105"/>
    </row>
    <row r="573" spans="2:12" ht="15.95" customHeight="1" x14ac:dyDescent="0.2">
      <c r="B573" s="105"/>
      <c r="H573" s="443"/>
      <c r="I573" s="443"/>
      <c r="J573" s="105"/>
      <c r="K573" s="105"/>
      <c r="L573" s="105"/>
    </row>
    <row r="574" spans="2:12" ht="15.95" customHeight="1" x14ac:dyDescent="0.2">
      <c r="B574" s="105"/>
      <c r="H574" s="443"/>
      <c r="I574" s="443"/>
      <c r="J574" s="105"/>
      <c r="K574" s="105"/>
      <c r="L574" s="105"/>
    </row>
    <row r="575" spans="2:12" ht="15.95" customHeight="1" x14ac:dyDescent="0.2">
      <c r="B575" s="105"/>
      <c r="H575" s="443"/>
      <c r="I575" s="443"/>
      <c r="J575" s="105"/>
      <c r="K575" s="105"/>
      <c r="L575" s="105"/>
    </row>
    <row r="576" spans="2:12" ht="15.95" customHeight="1" x14ac:dyDescent="0.2">
      <c r="B576" s="105"/>
      <c r="H576" s="443"/>
      <c r="I576" s="443"/>
      <c r="J576" s="105"/>
      <c r="K576" s="105"/>
      <c r="L576" s="105"/>
    </row>
    <row r="577" spans="2:12" ht="15.95" customHeight="1" x14ac:dyDescent="0.2">
      <c r="B577" s="105"/>
      <c r="H577" s="443"/>
      <c r="I577" s="443"/>
      <c r="J577" s="105"/>
      <c r="K577" s="105"/>
      <c r="L577" s="105"/>
    </row>
    <row r="578" spans="2:12" ht="15.95" customHeight="1" x14ac:dyDescent="0.2">
      <c r="B578" s="105"/>
      <c r="H578" s="443"/>
      <c r="I578" s="443"/>
      <c r="J578" s="105"/>
      <c r="K578" s="105"/>
      <c r="L578" s="105"/>
    </row>
    <row r="579" spans="2:12" ht="15.95" customHeight="1" x14ac:dyDescent="0.2">
      <c r="B579" s="105"/>
      <c r="H579" s="443"/>
      <c r="I579" s="443"/>
      <c r="J579" s="105"/>
      <c r="K579" s="105"/>
      <c r="L579" s="105"/>
    </row>
    <row r="580" spans="2:12" ht="15.95" customHeight="1" x14ac:dyDescent="0.2">
      <c r="B580" s="105"/>
      <c r="H580" s="443"/>
      <c r="I580" s="443"/>
      <c r="J580" s="105"/>
      <c r="K580" s="105"/>
      <c r="L580" s="105"/>
    </row>
    <row r="581" spans="2:12" ht="15.95" customHeight="1" x14ac:dyDescent="0.2">
      <c r="B581" s="105"/>
      <c r="H581" s="443"/>
      <c r="I581" s="443"/>
      <c r="J581" s="105"/>
      <c r="K581" s="105"/>
      <c r="L581" s="105"/>
    </row>
    <row r="582" spans="2:12" ht="15.95" customHeight="1" x14ac:dyDescent="0.2">
      <c r="B582" s="105"/>
      <c r="H582" s="443"/>
      <c r="I582" s="443"/>
      <c r="J582" s="105"/>
      <c r="K582" s="105"/>
      <c r="L582" s="105"/>
    </row>
    <row r="583" spans="2:12" ht="15.95" customHeight="1" x14ac:dyDescent="0.2">
      <c r="B583" s="105"/>
      <c r="H583" s="443"/>
      <c r="I583" s="443"/>
      <c r="J583" s="105"/>
      <c r="K583" s="105"/>
      <c r="L583" s="105"/>
    </row>
    <row r="584" spans="2:12" ht="15.95" customHeight="1" x14ac:dyDescent="0.2">
      <c r="B584" s="105"/>
      <c r="H584" s="443"/>
      <c r="I584" s="443"/>
      <c r="J584" s="105"/>
      <c r="K584" s="105"/>
      <c r="L584" s="105"/>
    </row>
    <row r="585" spans="2:12" ht="15.95" customHeight="1" x14ac:dyDescent="0.2">
      <c r="B585" s="105"/>
      <c r="H585" s="443"/>
      <c r="I585" s="443"/>
      <c r="J585" s="105"/>
      <c r="K585" s="105"/>
      <c r="L585" s="105"/>
    </row>
    <row r="586" spans="2:12" ht="15.95" customHeight="1" x14ac:dyDescent="0.2">
      <c r="B586" s="105"/>
      <c r="H586" s="443"/>
      <c r="I586" s="443"/>
      <c r="J586" s="105"/>
      <c r="K586" s="105"/>
      <c r="L586" s="105"/>
    </row>
    <row r="587" spans="2:12" ht="15.95" customHeight="1" x14ac:dyDescent="0.2">
      <c r="B587" s="105"/>
      <c r="H587" s="443"/>
      <c r="I587" s="443"/>
      <c r="J587" s="105"/>
      <c r="K587" s="105"/>
      <c r="L587" s="105"/>
    </row>
    <row r="588" spans="2:12" ht="15.95" customHeight="1" x14ac:dyDescent="0.2">
      <c r="B588" s="105"/>
      <c r="H588" s="443"/>
      <c r="I588" s="443"/>
      <c r="J588" s="105"/>
      <c r="K588" s="105"/>
      <c r="L588" s="105"/>
    </row>
    <row r="589" spans="2:12" ht="15.95" customHeight="1" x14ac:dyDescent="0.2">
      <c r="B589" s="105"/>
      <c r="H589" s="443"/>
      <c r="I589" s="443"/>
      <c r="J589" s="105"/>
      <c r="K589" s="105"/>
      <c r="L589" s="105"/>
    </row>
    <row r="590" spans="2:12" ht="15.95" customHeight="1" x14ac:dyDescent="0.2">
      <c r="B590" s="105"/>
      <c r="H590" s="443"/>
      <c r="I590" s="443"/>
      <c r="J590" s="105"/>
      <c r="K590" s="105"/>
      <c r="L590" s="105"/>
    </row>
    <row r="591" spans="2:12" ht="15.95" customHeight="1" x14ac:dyDescent="0.2">
      <c r="B591" s="105"/>
      <c r="H591" s="443"/>
      <c r="I591" s="443"/>
      <c r="J591" s="105"/>
      <c r="K591" s="105"/>
      <c r="L591" s="105"/>
    </row>
    <row r="592" spans="2:12" ht="15.95" customHeight="1" x14ac:dyDescent="0.2">
      <c r="B592" s="105"/>
      <c r="H592" s="443"/>
      <c r="I592" s="443"/>
      <c r="J592" s="105"/>
      <c r="K592" s="105"/>
      <c r="L592" s="105"/>
    </row>
    <row r="593" spans="2:12" ht="15.95" customHeight="1" x14ac:dyDescent="0.2">
      <c r="B593" s="105"/>
      <c r="H593" s="443"/>
      <c r="I593" s="443"/>
      <c r="J593" s="105"/>
      <c r="K593" s="105"/>
      <c r="L593" s="105"/>
    </row>
    <row r="594" spans="2:12" ht="15.95" customHeight="1" x14ac:dyDescent="0.2">
      <c r="B594" s="105"/>
      <c r="H594" s="443"/>
      <c r="I594" s="443"/>
      <c r="J594" s="105"/>
      <c r="K594" s="105"/>
      <c r="L594" s="105"/>
    </row>
    <row r="595" spans="2:12" ht="15.95" customHeight="1" x14ac:dyDescent="0.2">
      <c r="B595" s="105"/>
      <c r="H595" s="443"/>
      <c r="I595" s="443"/>
      <c r="J595" s="105"/>
      <c r="K595" s="105"/>
      <c r="L595" s="105"/>
    </row>
    <row r="596" spans="2:12" ht="15.95" customHeight="1" x14ac:dyDescent="0.2">
      <c r="B596" s="105"/>
      <c r="H596" s="443"/>
      <c r="I596" s="443"/>
      <c r="J596" s="105"/>
      <c r="K596" s="105"/>
      <c r="L596" s="105"/>
    </row>
    <row r="597" spans="2:12" ht="15.95" customHeight="1" x14ac:dyDescent="0.2">
      <c r="B597" s="105"/>
      <c r="H597" s="443"/>
      <c r="I597" s="443"/>
      <c r="J597" s="105"/>
      <c r="K597" s="105"/>
      <c r="L597" s="105"/>
    </row>
    <row r="598" spans="2:12" ht="15.95" customHeight="1" x14ac:dyDescent="0.2">
      <c r="B598" s="105"/>
      <c r="H598" s="443"/>
      <c r="I598" s="443"/>
      <c r="J598" s="105"/>
      <c r="K598" s="105"/>
      <c r="L598" s="105"/>
    </row>
    <row r="599" spans="2:12" ht="15.95" customHeight="1" x14ac:dyDescent="0.2">
      <c r="B599" s="105"/>
      <c r="H599" s="443"/>
      <c r="I599" s="443"/>
      <c r="J599" s="105"/>
      <c r="K599" s="105"/>
      <c r="L599" s="105"/>
    </row>
    <row r="600" spans="2:12" ht="15.95" customHeight="1" x14ac:dyDescent="0.2">
      <c r="B600" s="105"/>
      <c r="H600" s="443"/>
      <c r="I600" s="443"/>
      <c r="J600" s="105"/>
      <c r="K600" s="105"/>
      <c r="L600" s="105"/>
    </row>
    <row r="601" spans="2:12" ht="15.95" customHeight="1" x14ac:dyDescent="0.2">
      <c r="B601" s="105"/>
      <c r="H601" s="443"/>
      <c r="I601" s="443"/>
      <c r="J601" s="105"/>
      <c r="K601" s="105"/>
      <c r="L601" s="105"/>
    </row>
    <row r="602" spans="2:12" ht="15.95" customHeight="1" x14ac:dyDescent="0.2">
      <c r="B602" s="105"/>
      <c r="H602" s="443"/>
      <c r="I602" s="443"/>
      <c r="J602" s="105"/>
      <c r="K602" s="105"/>
      <c r="L602" s="105"/>
    </row>
    <row r="603" spans="2:12" ht="15.95" customHeight="1" x14ac:dyDescent="0.2">
      <c r="B603" s="105"/>
      <c r="H603" s="443"/>
      <c r="I603" s="443"/>
      <c r="J603" s="105"/>
      <c r="K603" s="105"/>
      <c r="L603" s="105"/>
    </row>
    <row r="604" spans="2:12" ht="15.95" customHeight="1" x14ac:dyDescent="0.2">
      <c r="B604" s="105"/>
      <c r="H604" s="443"/>
      <c r="I604" s="443"/>
      <c r="J604" s="105"/>
      <c r="K604" s="105"/>
      <c r="L604" s="105"/>
    </row>
    <row r="605" spans="2:12" ht="15.95" customHeight="1" x14ac:dyDescent="0.2">
      <c r="B605" s="105"/>
      <c r="H605" s="443"/>
      <c r="I605" s="443"/>
      <c r="J605" s="105"/>
      <c r="K605" s="105"/>
      <c r="L605" s="105"/>
    </row>
    <row r="606" spans="2:12" ht="15.95" customHeight="1" x14ac:dyDescent="0.2">
      <c r="B606" s="105"/>
      <c r="H606" s="443"/>
      <c r="I606" s="443"/>
      <c r="J606" s="105"/>
      <c r="K606" s="105"/>
      <c r="L606" s="105"/>
    </row>
    <row r="607" spans="2:12" ht="15.95" customHeight="1" x14ac:dyDescent="0.2">
      <c r="B607" s="105"/>
      <c r="H607" s="443"/>
      <c r="I607" s="443"/>
      <c r="J607" s="105"/>
      <c r="K607" s="105"/>
      <c r="L607" s="105"/>
    </row>
    <row r="608" spans="2:12" ht="15.95" customHeight="1" x14ac:dyDescent="0.2">
      <c r="B608" s="105"/>
      <c r="H608" s="443"/>
      <c r="I608" s="443"/>
      <c r="J608" s="105"/>
      <c r="K608" s="105"/>
      <c r="L608" s="105"/>
    </row>
    <row r="609" spans="2:12" ht="15.95" customHeight="1" x14ac:dyDescent="0.2">
      <c r="B609" s="105"/>
      <c r="H609" s="443"/>
      <c r="I609" s="443"/>
      <c r="J609" s="105"/>
      <c r="K609" s="105"/>
      <c r="L609" s="105"/>
    </row>
    <row r="610" spans="2:12" ht="15.95" customHeight="1" x14ac:dyDescent="0.2">
      <c r="B610" s="105"/>
      <c r="H610" s="443"/>
      <c r="I610" s="443"/>
      <c r="J610" s="105"/>
      <c r="K610" s="105"/>
      <c r="L610" s="105"/>
    </row>
    <row r="611" spans="2:12" ht="15.95" customHeight="1" x14ac:dyDescent="0.2">
      <c r="B611" s="105"/>
      <c r="H611" s="443"/>
      <c r="I611" s="443"/>
      <c r="J611" s="105"/>
      <c r="K611" s="105"/>
      <c r="L611" s="105"/>
    </row>
    <row r="612" spans="2:12" ht="15.95" customHeight="1" x14ac:dyDescent="0.2">
      <c r="B612" s="105"/>
      <c r="H612" s="443"/>
      <c r="I612" s="443"/>
      <c r="J612" s="105"/>
      <c r="K612" s="105"/>
      <c r="L612" s="105"/>
    </row>
    <row r="613" spans="2:12" ht="15.95" customHeight="1" x14ac:dyDescent="0.2">
      <c r="B613" s="105"/>
      <c r="H613" s="443"/>
      <c r="I613" s="443"/>
      <c r="J613" s="105"/>
      <c r="K613" s="105"/>
      <c r="L613" s="105"/>
    </row>
    <row r="614" spans="2:12" ht="15.95" customHeight="1" x14ac:dyDescent="0.2">
      <c r="B614" s="105"/>
      <c r="H614" s="443"/>
      <c r="I614" s="443"/>
      <c r="J614" s="105"/>
      <c r="K614" s="105"/>
      <c r="L614" s="105"/>
    </row>
    <row r="615" spans="2:12" ht="15.95" customHeight="1" x14ac:dyDescent="0.2">
      <c r="B615" s="105"/>
      <c r="H615" s="443"/>
      <c r="I615" s="443"/>
      <c r="J615" s="105"/>
      <c r="K615" s="105"/>
      <c r="L615" s="105"/>
    </row>
    <row r="616" spans="2:12" ht="15.95" customHeight="1" x14ac:dyDescent="0.2">
      <c r="B616" s="105"/>
      <c r="H616" s="443"/>
      <c r="I616" s="443"/>
      <c r="J616" s="105"/>
      <c r="K616" s="105"/>
      <c r="L616" s="105"/>
    </row>
    <row r="617" spans="2:12" ht="15.95" customHeight="1" x14ac:dyDescent="0.2">
      <c r="B617" s="105"/>
      <c r="H617" s="443"/>
      <c r="I617" s="443"/>
      <c r="J617" s="105"/>
      <c r="K617" s="105"/>
      <c r="L617" s="105"/>
    </row>
    <row r="618" spans="2:12" ht="15.95" customHeight="1" x14ac:dyDescent="0.2">
      <c r="B618" s="105"/>
      <c r="H618" s="443"/>
      <c r="I618" s="443"/>
      <c r="J618" s="105"/>
      <c r="K618" s="105"/>
      <c r="L618" s="105"/>
    </row>
    <row r="619" spans="2:12" ht="15.95" customHeight="1" x14ac:dyDescent="0.2">
      <c r="B619" s="105"/>
      <c r="H619" s="443"/>
      <c r="I619" s="443"/>
      <c r="J619" s="105"/>
      <c r="K619" s="105"/>
      <c r="L619" s="105"/>
    </row>
    <row r="620" spans="2:12" ht="15.95" customHeight="1" x14ac:dyDescent="0.2">
      <c r="B620" s="105"/>
      <c r="H620" s="443"/>
      <c r="I620" s="443"/>
      <c r="J620" s="105"/>
      <c r="K620" s="105"/>
      <c r="L620" s="105"/>
    </row>
    <row r="621" spans="2:12" ht="15.95" customHeight="1" x14ac:dyDescent="0.2">
      <c r="B621" s="105"/>
      <c r="H621" s="443"/>
      <c r="I621" s="443"/>
      <c r="J621" s="105"/>
      <c r="K621" s="105"/>
      <c r="L621" s="105"/>
    </row>
    <row r="622" spans="2:12" ht="15.95" customHeight="1" x14ac:dyDescent="0.2">
      <c r="B622" s="105"/>
      <c r="H622" s="443"/>
      <c r="I622" s="443"/>
      <c r="J622" s="105"/>
      <c r="K622" s="105"/>
      <c r="L622" s="105"/>
    </row>
    <row r="623" spans="2:12" ht="15.95" customHeight="1" x14ac:dyDescent="0.2">
      <c r="B623" s="105"/>
      <c r="H623" s="443"/>
      <c r="I623" s="443"/>
      <c r="J623" s="105"/>
      <c r="K623" s="105"/>
      <c r="L623" s="105"/>
    </row>
    <row r="624" spans="2:12" ht="15.95" customHeight="1" x14ac:dyDescent="0.2">
      <c r="B624" s="105"/>
      <c r="H624" s="443"/>
      <c r="I624" s="443"/>
      <c r="J624" s="105"/>
      <c r="K624" s="105"/>
      <c r="L624" s="105"/>
    </row>
    <row r="625" spans="2:12" ht="15.95" customHeight="1" x14ac:dyDescent="0.2">
      <c r="B625" s="105"/>
      <c r="H625" s="443"/>
      <c r="I625" s="443"/>
      <c r="J625" s="105"/>
      <c r="K625" s="105"/>
      <c r="L625" s="105"/>
    </row>
    <row r="626" spans="2:12" ht="15.95" customHeight="1" x14ac:dyDescent="0.2">
      <c r="B626" s="105"/>
      <c r="H626" s="443"/>
      <c r="I626" s="443"/>
      <c r="J626" s="105"/>
      <c r="K626" s="105"/>
      <c r="L626" s="105"/>
    </row>
    <row r="627" spans="2:12" ht="15.95" customHeight="1" x14ac:dyDescent="0.2">
      <c r="B627" s="105"/>
      <c r="H627" s="443"/>
      <c r="I627" s="443"/>
      <c r="J627" s="105"/>
      <c r="K627" s="105"/>
      <c r="L627" s="105"/>
    </row>
    <row r="628" spans="2:12" ht="15.95" customHeight="1" x14ac:dyDescent="0.2">
      <c r="B628" s="105"/>
      <c r="H628" s="443"/>
      <c r="I628" s="443"/>
      <c r="J628" s="105"/>
      <c r="K628" s="105"/>
      <c r="L628" s="105"/>
    </row>
    <row r="629" spans="2:12" ht="15.95" customHeight="1" x14ac:dyDescent="0.2">
      <c r="B629" s="105"/>
      <c r="H629" s="443"/>
      <c r="I629" s="443"/>
      <c r="J629" s="105"/>
      <c r="K629" s="105"/>
      <c r="L629" s="105"/>
    </row>
    <row r="630" spans="2:12" ht="15.95" customHeight="1" x14ac:dyDescent="0.2">
      <c r="B630" s="105"/>
      <c r="H630" s="443"/>
      <c r="I630" s="443"/>
      <c r="J630" s="105"/>
      <c r="K630" s="105"/>
      <c r="L630" s="105"/>
    </row>
    <row r="631" spans="2:12" ht="15.95" customHeight="1" x14ac:dyDescent="0.2">
      <c r="B631" s="105"/>
      <c r="H631" s="443"/>
      <c r="I631" s="443"/>
      <c r="J631" s="105"/>
      <c r="K631" s="105"/>
      <c r="L631" s="105"/>
    </row>
    <row r="632" spans="2:12" ht="15.95" customHeight="1" x14ac:dyDescent="0.2">
      <c r="B632" s="105"/>
      <c r="H632" s="443"/>
      <c r="I632" s="443"/>
      <c r="J632" s="105"/>
      <c r="K632" s="105"/>
      <c r="L632" s="105"/>
    </row>
    <row r="633" spans="2:12" ht="15.95" customHeight="1" x14ac:dyDescent="0.2">
      <c r="B633" s="105"/>
      <c r="H633" s="443"/>
      <c r="I633" s="443"/>
      <c r="J633" s="105"/>
      <c r="K633" s="105"/>
      <c r="L633" s="105"/>
    </row>
    <row r="634" spans="2:12" ht="15.95" customHeight="1" x14ac:dyDescent="0.2">
      <c r="B634" s="105"/>
      <c r="H634" s="443"/>
      <c r="I634" s="443"/>
      <c r="J634" s="105"/>
      <c r="K634" s="105"/>
      <c r="L634" s="105"/>
    </row>
    <row r="635" spans="2:12" ht="15.95" customHeight="1" x14ac:dyDescent="0.2">
      <c r="B635" s="105"/>
      <c r="H635" s="443"/>
      <c r="I635" s="443"/>
      <c r="J635" s="105"/>
      <c r="K635" s="105"/>
      <c r="L635" s="105"/>
    </row>
    <row r="636" spans="2:12" ht="15.95" customHeight="1" x14ac:dyDescent="0.2">
      <c r="B636" s="105"/>
      <c r="H636" s="443"/>
      <c r="I636" s="443"/>
      <c r="J636" s="105"/>
      <c r="K636" s="105"/>
      <c r="L636" s="105"/>
    </row>
    <row r="637" spans="2:12" ht="15.95" customHeight="1" x14ac:dyDescent="0.2">
      <c r="B637" s="105"/>
      <c r="H637" s="443"/>
      <c r="I637" s="443"/>
      <c r="J637" s="105"/>
      <c r="K637" s="105"/>
      <c r="L637" s="105"/>
    </row>
    <row r="638" spans="2:12" ht="15.95" customHeight="1" x14ac:dyDescent="0.2">
      <c r="B638" s="105"/>
      <c r="H638" s="443"/>
      <c r="I638" s="443"/>
      <c r="J638" s="105"/>
      <c r="K638" s="105"/>
      <c r="L638" s="105"/>
    </row>
    <row r="639" spans="2:12" ht="15.95" customHeight="1" x14ac:dyDescent="0.2">
      <c r="B639" s="105"/>
      <c r="H639" s="443"/>
      <c r="I639" s="443"/>
      <c r="J639" s="105"/>
      <c r="K639" s="105"/>
      <c r="L639" s="105"/>
    </row>
    <row r="640" spans="2:12" ht="15.95" customHeight="1" x14ac:dyDescent="0.2">
      <c r="B640" s="105"/>
      <c r="H640" s="443"/>
      <c r="I640" s="443"/>
      <c r="J640" s="105"/>
      <c r="K640" s="105"/>
      <c r="L640" s="105"/>
    </row>
    <row r="641" spans="2:12" ht="15.95" customHeight="1" x14ac:dyDescent="0.2">
      <c r="B641" s="105"/>
      <c r="H641" s="443"/>
      <c r="I641" s="443"/>
      <c r="J641" s="105"/>
      <c r="K641" s="105"/>
      <c r="L641" s="105"/>
    </row>
    <row r="642" spans="2:12" ht="15.95" customHeight="1" x14ac:dyDescent="0.2">
      <c r="B642" s="105"/>
      <c r="H642" s="443"/>
      <c r="I642" s="443"/>
      <c r="J642" s="105"/>
      <c r="K642" s="105"/>
      <c r="L642" s="105"/>
    </row>
    <row r="643" spans="2:12" ht="15.95" customHeight="1" x14ac:dyDescent="0.2">
      <c r="B643" s="105"/>
      <c r="H643" s="443"/>
      <c r="I643" s="443"/>
      <c r="J643" s="105"/>
      <c r="K643" s="105"/>
      <c r="L643" s="105"/>
    </row>
    <row r="644" spans="2:12" ht="15.95" customHeight="1" x14ac:dyDescent="0.2">
      <c r="B644" s="105"/>
      <c r="H644" s="443"/>
      <c r="I644" s="443"/>
      <c r="J644" s="105"/>
      <c r="K644" s="105"/>
      <c r="L644" s="105"/>
    </row>
    <row r="645" spans="2:12" ht="15.95" customHeight="1" x14ac:dyDescent="0.2">
      <c r="B645" s="105"/>
      <c r="H645" s="443"/>
      <c r="I645" s="443"/>
      <c r="J645" s="105"/>
      <c r="K645" s="105"/>
      <c r="L645" s="105"/>
    </row>
    <row r="646" spans="2:12" ht="15.95" customHeight="1" x14ac:dyDescent="0.2">
      <c r="B646" s="105"/>
      <c r="H646" s="443"/>
      <c r="I646" s="443"/>
      <c r="J646" s="105"/>
      <c r="K646" s="105"/>
      <c r="L646" s="105"/>
    </row>
    <row r="647" spans="2:12" ht="15.95" customHeight="1" x14ac:dyDescent="0.2">
      <c r="B647" s="105"/>
      <c r="H647" s="443"/>
      <c r="I647" s="443"/>
      <c r="J647" s="105"/>
      <c r="K647" s="105"/>
      <c r="L647" s="105"/>
    </row>
    <row r="648" spans="2:12" ht="15.95" customHeight="1" x14ac:dyDescent="0.2">
      <c r="B648" s="105"/>
      <c r="H648" s="443"/>
      <c r="I648" s="443"/>
      <c r="J648" s="105"/>
      <c r="K648" s="105"/>
      <c r="L648" s="105"/>
    </row>
    <row r="649" spans="2:12" ht="15.95" customHeight="1" x14ac:dyDescent="0.2">
      <c r="B649" s="105"/>
      <c r="H649" s="443"/>
      <c r="I649" s="443"/>
      <c r="J649" s="105"/>
      <c r="K649" s="105"/>
      <c r="L649" s="105"/>
    </row>
    <row r="650" spans="2:12" ht="15.95" customHeight="1" x14ac:dyDescent="0.2">
      <c r="B650" s="105"/>
      <c r="H650" s="443"/>
      <c r="I650" s="443"/>
      <c r="J650" s="105"/>
      <c r="K650" s="105"/>
      <c r="L650" s="105"/>
    </row>
    <row r="651" spans="2:12" ht="15.95" customHeight="1" x14ac:dyDescent="0.2">
      <c r="B651" s="105"/>
      <c r="H651" s="443"/>
      <c r="I651" s="443"/>
      <c r="J651" s="105"/>
      <c r="K651" s="105"/>
      <c r="L651" s="105"/>
    </row>
    <row r="652" spans="2:12" ht="15.95" customHeight="1" x14ac:dyDescent="0.2">
      <c r="B652" s="105"/>
      <c r="H652" s="443"/>
      <c r="I652" s="443"/>
      <c r="J652" s="105"/>
      <c r="K652" s="105"/>
      <c r="L652" s="105"/>
    </row>
    <row r="653" spans="2:12" ht="15.95" customHeight="1" x14ac:dyDescent="0.2">
      <c r="B653" s="105"/>
      <c r="H653" s="443"/>
      <c r="I653" s="443"/>
      <c r="J653" s="105"/>
      <c r="K653" s="105"/>
      <c r="L653" s="105"/>
    </row>
    <row r="654" spans="2:12" ht="15.95" customHeight="1" x14ac:dyDescent="0.2">
      <c r="B654" s="105"/>
      <c r="H654" s="443"/>
      <c r="I654" s="443"/>
      <c r="J654" s="105"/>
      <c r="K654" s="105"/>
      <c r="L654" s="105"/>
    </row>
    <row r="655" spans="2:12" ht="15.95" customHeight="1" x14ac:dyDescent="0.2">
      <c r="B655" s="105"/>
      <c r="H655" s="443"/>
      <c r="I655" s="443"/>
      <c r="J655" s="105"/>
      <c r="K655" s="105"/>
      <c r="L655" s="105"/>
    </row>
    <row r="656" spans="2:12" ht="15.95" customHeight="1" x14ac:dyDescent="0.2">
      <c r="B656" s="105"/>
      <c r="H656" s="443"/>
      <c r="I656" s="443"/>
      <c r="J656" s="105"/>
      <c r="K656" s="105"/>
      <c r="L656" s="105"/>
    </row>
    <row r="657" spans="2:12" ht="15.95" customHeight="1" x14ac:dyDescent="0.2">
      <c r="B657" s="105"/>
      <c r="H657" s="443"/>
      <c r="I657" s="443"/>
      <c r="J657" s="105"/>
      <c r="K657" s="105"/>
      <c r="L657" s="105"/>
    </row>
    <row r="658" spans="2:12" ht="15.95" customHeight="1" x14ac:dyDescent="0.2">
      <c r="B658" s="105"/>
      <c r="H658" s="443"/>
      <c r="I658" s="443"/>
      <c r="J658" s="105"/>
      <c r="K658" s="105"/>
      <c r="L658" s="105"/>
    </row>
    <row r="659" spans="2:12" ht="15.95" customHeight="1" x14ac:dyDescent="0.2">
      <c r="B659" s="105"/>
      <c r="H659" s="443"/>
      <c r="I659" s="443"/>
      <c r="J659" s="105"/>
      <c r="K659" s="105"/>
      <c r="L659" s="105"/>
    </row>
    <row r="660" spans="2:12" ht="15.95" customHeight="1" x14ac:dyDescent="0.2">
      <c r="B660" s="105"/>
      <c r="H660" s="443"/>
      <c r="I660" s="443"/>
      <c r="J660" s="105"/>
      <c r="K660" s="105"/>
      <c r="L660" s="105"/>
    </row>
    <row r="661" spans="2:12" ht="15.95" customHeight="1" x14ac:dyDescent="0.2">
      <c r="B661" s="105"/>
      <c r="H661" s="443"/>
      <c r="I661" s="443"/>
      <c r="J661" s="105"/>
      <c r="K661" s="105"/>
      <c r="L661" s="105"/>
    </row>
    <row r="662" spans="2:12" ht="15.95" customHeight="1" x14ac:dyDescent="0.2">
      <c r="B662" s="105"/>
      <c r="H662" s="443"/>
      <c r="I662" s="443"/>
      <c r="J662" s="105"/>
      <c r="K662" s="105"/>
      <c r="L662" s="105"/>
    </row>
    <row r="663" spans="2:12" ht="15.95" customHeight="1" x14ac:dyDescent="0.2">
      <c r="B663" s="105"/>
      <c r="H663" s="443"/>
      <c r="I663" s="443"/>
      <c r="J663" s="105"/>
      <c r="K663" s="105"/>
      <c r="L663" s="105"/>
    </row>
    <row r="664" spans="2:12" ht="15.95" customHeight="1" x14ac:dyDescent="0.2">
      <c r="B664" s="105"/>
      <c r="H664" s="443"/>
      <c r="I664" s="443"/>
      <c r="J664" s="105"/>
      <c r="K664" s="105"/>
      <c r="L664" s="105"/>
    </row>
    <row r="665" spans="2:12" ht="15.95" customHeight="1" x14ac:dyDescent="0.2">
      <c r="B665" s="105"/>
      <c r="H665" s="443"/>
      <c r="I665" s="443"/>
      <c r="J665" s="105"/>
      <c r="K665" s="105"/>
      <c r="L665" s="105"/>
    </row>
    <row r="666" spans="2:12" ht="15.95" customHeight="1" x14ac:dyDescent="0.2">
      <c r="B666" s="105"/>
      <c r="H666" s="443"/>
      <c r="I666" s="443"/>
      <c r="J666" s="105"/>
      <c r="K666" s="105"/>
      <c r="L666" s="105"/>
    </row>
    <row r="667" spans="2:12" ht="15.95" customHeight="1" x14ac:dyDescent="0.2">
      <c r="B667" s="105"/>
      <c r="H667" s="443"/>
      <c r="I667" s="443"/>
      <c r="J667" s="105"/>
      <c r="K667" s="105"/>
      <c r="L667" s="105"/>
    </row>
    <row r="668" spans="2:12" ht="15.95" customHeight="1" x14ac:dyDescent="0.2">
      <c r="B668" s="105"/>
      <c r="H668" s="443"/>
      <c r="I668" s="443"/>
      <c r="J668" s="105"/>
      <c r="K668" s="105"/>
      <c r="L668" s="105"/>
    </row>
    <row r="669" spans="2:12" ht="15.95" customHeight="1" x14ac:dyDescent="0.2">
      <c r="B669" s="105"/>
      <c r="H669" s="443"/>
      <c r="I669" s="443"/>
      <c r="J669" s="105"/>
      <c r="K669" s="105"/>
      <c r="L669" s="105"/>
    </row>
    <row r="670" spans="2:12" ht="15.95" customHeight="1" x14ac:dyDescent="0.2">
      <c r="B670" s="105"/>
      <c r="H670" s="443"/>
      <c r="I670" s="443"/>
      <c r="J670" s="105"/>
      <c r="K670" s="105"/>
      <c r="L670" s="105"/>
    </row>
    <row r="671" spans="2:12" ht="15.95" customHeight="1" x14ac:dyDescent="0.2">
      <c r="B671" s="105"/>
      <c r="H671" s="443"/>
      <c r="I671" s="443"/>
      <c r="J671" s="105"/>
      <c r="K671" s="105"/>
      <c r="L671" s="105"/>
    </row>
    <row r="672" spans="2:12" ht="15.95" customHeight="1" x14ac:dyDescent="0.2">
      <c r="B672" s="105"/>
      <c r="H672" s="443"/>
      <c r="I672" s="443"/>
      <c r="J672" s="105"/>
      <c r="K672" s="105"/>
      <c r="L672" s="105"/>
    </row>
    <row r="673" spans="2:12" ht="15.95" customHeight="1" x14ac:dyDescent="0.2">
      <c r="B673" s="105"/>
      <c r="H673" s="443"/>
      <c r="I673" s="443"/>
      <c r="J673" s="105"/>
      <c r="K673" s="105"/>
      <c r="L673" s="105"/>
    </row>
    <row r="674" spans="2:12" ht="15.95" customHeight="1" x14ac:dyDescent="0.2">
      <c r="B674" s="105"/>
      <c r="H674" s="443"/>
      <c r="I674" s="443"/>
      <c r="J674" s="105"/>
      <c r="K674" s="105"/>
      <c r="L674" s="105"/>
    </row>
    <row r="675" spans="2:12" ht="15.95" customHeight="1" x14ac:dyDescent="0.2">
      <c r="B675" s="105"/>
      <c r="H675" s="443"/>
      <c r="I675" s="443"/>
      <c r="J675" s="105"/>
      <c r="K675" s="105"/>
      <c r="L675" s="105"/>
    </row>
    <row r="676" spans="2:12" ht="15.95" customHeight="1" x14ac:dyDescent="0.2">
      <c r="B676" s="105"/>
      <c r="H676" s="443"/>
      <c r="I676" s="443"/>
      <c r="J676" s="105"/>
      <c r="K676" s="105"/>
      <c r="L676" s="105"/>
    </row>
    <row r="677" spans="2:12" ht="15.95" customHeight="1" x14ac:dyDescent="0.2">
      <c r="B677" s="105"/>
      <c r="H677" s="443"/>
      <c r="I677" s="443"/>
      <c r="J677" s="105"/>
      <c r="K677" s="105"/>
      <c r="L677" s="105"/>
    </row>
    <row r="678" spans="2:12" ht="15.95" customHeight="1" x14ac:dyDescent="0.2">
      <c r="B678" s="105"/>
      <c r="H678" s="443"/>
      <c r="I678" s="443"/>
      <c r="J678" s="105"/>
      <c r="K678" s="105"/>
      <c r="L678" s="105"/>
    </row>
    <row r="679" spans="2:12" ht="15.95" customHeight="1" x14ac:dyDescent="0.2">
      <c r="B679" s="105"/>
      <c r="H679" s="443"/>
      <c r="I679" s="443"/>
      <c r="J679" s="105"/>
      <c r="K679" s="105"/>
      <c r="L679" s="105"/>
    </row>
    <row r="680" spans="2:12" ht="15.95" customHeight="1" x14ac:dyDescent="0.2">
      <c r="B680" s="105"/>
      <c r="H680" s="443"/>
      <c r="I680" s="443"/>
      <c r="J680" s="105"/>
      <c r="K680" s="105"/>
      <c r="L680" s="105"/>
    </row>
    <row r="681" spans="2:12" ht="15.95" customHeight="1" x14ac:dyDescent="0.2">
      <c r="B681" s="105"/>
      <c r="H681" s="443"/>
      <c r="I681" s="443"/>
      <c r="J681" s="105"/>
      <c r="K681" s="105"/>
      <c r="L681" s="105"/>
    </row>
    <row r="682" spans="2:12" ht="15.95" customHeight="1" x14ac:dyDescent="0.2">
      <c r="B682" s="105"/>
      <c r="H682" s="443"/>
      <c r="I682" s="443"/>
      <c r="J682" s="105"/>
      <c r="K682" s="105"/>
      <c r="L682" s="105"/>
    </row>
    <row r="683" spans="2:12" ht="15.95" customHeight="1" x14ac:dyDescent="0.2">
      <c r="B683" s="105"/>
      <c r="H683" s="443"/>
      <c r="I683" s="443"/>
      <c r="J683" s="105"/>
      <c r="K683" s="105"/>
      <c r="L683" s="105"/>
    </row>
    <row r="684" spans="2:12" ht="15.95" customHeight="1" x14ac:dyDescent="0.2">
      <c r="B684" s="105"/>
      <c r="H684" s="443"/>
      <c r="I684" s="443"/>
      <c r="J684" s="105"/>
      <c r="K684" s="105"/>
      <c r="L684" s="105"/>
    </row>
    <row r="685" spans="2:12" ht="15.95" customHeight="1" x14ac:dyDescent="0.2">
      <c r="B685" s="105"/>
      <c r="H685" s="443"/>
      <c r="I685" s="443"/>
      <c r="J685" s="105"/>
      <c r="K685" s="105"/>
      <c r="L685" s="105"/>
    </row>
    <row r="686" spans="2:12" ht="15.95" customHeight="1" x14ac:dyDescent="0.2">
      <c r="B686" s="105"/>
      <c r="H686" s="443"/>
      <c r="I686" s="443"/>
      <c r="J686" s="105"/>
      <c r="K686" s="105"/>
      <c r="L686" s="105"/>
    </row>
    <row r="687" spans="2:12" ht="15.95" customHeight="1" x14ac:dyDescent="0.2">
      <c r="B687" s="105"/>
      <c r="H687" s="443"/>
      <c r="I687" s="443"/>
      <c r="J687" s="105"/>
      <c r="K687" s="105"/>
      <c r="L687" s="105"/>
    </row>
    <row r="688" spans="2:12" ht="15.95" customHeight="1" x14ac:dyDescent="0.2">
      <c r="B688" s="105"/>
      <c r="H688" s="443"/>
      <c r="I688" s="443"/>
      <c r="J688" s="105"/>
      <c r="K688" s="105"/>
      <c r="L688" s="105"/>
    </row>
    <row r="689" spans="2:12" ht="15.95" customHeight="1" x14ac:dyDescent="0.2">
      <c r="B689" s="105"/>
      <c r="H689" s="443"/>
      <c r="I689" s="443"/>
      <c r="J689" s="105"/>
      <c r="K689" s="105"/>
      <c r="L689" s="105"/>
    </row>
    <row r="690" spans="2:12" ht="15.95" customHeight="1" x14ac:dyDescent="0.2">
      <c r="B690" s="105"/>
      <c r="H690" s="443"/>
      <c r="I690" s="443"/>
      <c r="J690" s="105"/>
      <c r="K690" s="105"/>
      <c r="L690" s="105"/>
    </row>
    <row r="691" spans="2:12" ht="15.95" customHeight="1" x14ac:dyDescent="0.2">
      <c r="B691" s="105"/>
      <c r="H691" s="443"/>
      <c r="I691" s="443"/>
      <c r="J691" s="105"/>
      <c r="K691" s="105"/>
      <c r="L691" s="105"/>
    </row>
    <row r="692" spans="2:12" ht="15.95" customHeight="1" x14ac:dyDescent="0.2">
      <c r="B692" s="105"/>
      <c r="H692" s="443"/>
      <c r="I692" s="443"/>
      <c r="J692" s="105"/>
      <c r="K692" s="105"/>
      <c r="L692" s="105"/>
    </row>
    <row r="693" spans="2:12" ht="15.95" customHeight="1" x14ac:dyDescent="0.2">
      <c r="B693" s="105"/>
      <c r="H693" s="443"/>
      <c r="I693" s="443"/>
      <c r="J693" s="105"/>
      <c r="K693" s="105"/>
      <c r="L693" s="105"/>
    </row>
    <row r="694" spans="2:12" ht="15.95" customHeight="1" x14ac:dyDescent="0.2">
      <c r="B694" s="105"/>
      <c r="H694" s="443"/>
      <c r="I694" s="443"/>
      <c r="J694" s="105"/>
      <c r="K694" s="105"/>
      <c r="L694" s="105"/>
    </row>
    <row r="695" spans="2:12" ht="15.95" customHeight="1" x14ac:dyDescent="0.2">
      <c r="B695" s="105"/>
      <c r="H695" s="443"/>
      <c r="I695" s="443"/>
      <c r="J695" s="105"/>
      <c r="K695" s="105"/>
      <c r="L695" s="105"/>
    </row>
    <row r="696" spans="2:12" ht="15.95" customHeight="1" x14ac:dyDescent="0.2">
      <c r="B696" s="105"/>
      <c r="H696" s="443"/>
      <c r="I696" s="443"/>
      <c r="J696" s="105"/>
      <c r="K696" s="105"/>
      <c r="L696" s="105"/>
    </row>
    <row r="697" spans="2:12" ht="15.95" customHeight="1" x14ac:dyDescent="0.2">
      <c r="B697" s="105"/>
      <c r="H697" s="443"/>
      <c r="I697" s="443"/>
      <c r="J697" s="105"/>
      <c r="K697" s="105"/>
      <c r="L697" s="105"/>
    </row>
    <row r="698" spans="2:12" ht="15.95" customHeight="1" x14ac:dyDescent="0.2">
      <c r="B698" s="105"/>
      <c r="H698" s="443"/>
      <c r="I698" s="443"/>
      <c r="J698" s="105"/>
      <c r="K698" s="105"/>
      <c r="L698" s="105"/>
    </row>
    <row r="699" spans="2:12" ht="15.95" customHeight="1" x14ac:dyDescent="0.2">
      <c r="B699" s="105"/>
      <c r="H699" s="443"/>
      <c r="I699" s="443"/>
      <c r="J699" s="105"/>
      <c r="K699" s="105"/>
      <c r="L699" s="105"/>
    </row>
    <row r="700" spans="2:12" ht="15.95" customHeight="1" x14ac:dyDescent="0.2">
      <c r="B700" s="105"/>
      <c r="H700" s="443"/>
      <c r="I700" s="443"/>
      <c r="J700" s="105"/>
      <c r="K700" s="105"/>
      <c r="L700" s="105"/>
    </row>
    <row r="701" spans="2:12" ht="15.95" customHeight="1" x14ac:dyDescent="0.2">
      <c r="B701" s="105"/>
      <c r="H701" s="443"/>
      <c r="I701" s="443"/>
      <c r="J701" s="105"/>
      <c r="K701" s="105"/>
      <c r="L701" s="105"/>
    </row>
    <row r="702" spans="2:12" ht="15.95" customHeight="1" x14ac:dyDescent="0.2">
      <c r="B702" s="105"/>
      <c r="H702" s="443"/>
      <c r="I702" s="443"/>
      <c r="J702" s="105"/>
      <c r="K702" s="105"/>
      <c r="L702" s="105"/>
    </row>
    <row r="703" spans="2:12" ht="15.95" customHeight="1" x14ac:dyDescent="0.2">
      <c r="B703" s="105"/>
      <c r="H703" s="443"/>
      <c r="I703" s="443"/>
      <c r="J703" s="105"/>
      <c r="K703" s="105"/>
      <c r="L703" s="105"/>
    </row>
    <row r="704" spans="2:12" ht="15.95" customHeight="1" x14ac:dyDescent="0.2">
      <c r="B704" s="105"/>
      <c r="H704" s="443"/>
      <c r="I704" s="443"/>
      <c r="J704" s="105"/>
      <c r="K704" s="105"/>
      <c r="L704" s="105"/>
    </row>
    <row r="705" spans="2:12" ht="15.95" customHeight="1" x14ac:dyDescent="0.2">
      <c r="B705" s="105"/>
      <c r="H705" s="443"/>
      <c r="I705" s="443"/>
      <c r="J705" s="105"/>
      <c r="K705" s="105"/>
      <c r="L705" s="105"/>
    </row>
    <row r="706" spans="2:12" ht="15.95" customHeight="1" x14ac:dyDescent="0.2">
      <c r="B706" s="105"/>
      <c r="H706" s="443"/>
      <c r="I706" s="443"/>
      <c r="J706" s="105"/>
      <c r="K706" s="105"/>
      <c r="L706" s="105"/>
    </row>
    <row r="707" spans="2:12" ht="15.95" customHeight="1" x14ac:dyDescent="0.2">
      <c r="B707" s="105"/>
      <c r="H707" s="443"/>
      <c r="I707" s="443"/>
      <c r="J707" s="105"/>
      <c r="K707" s="105"/>
      <c r="L707" s="105"/>
    </row>
    <row r="708" spans="2:12" ht="15.95" customHeight="1" x14ac:dyDescent="0.2">
      <c r="B708" s="105"/>
      <c r="H708" s="443"/>
      <c r="I708" s="443"/>
      <c r="J708" s="105"/>
      <c r="K708" s="105"/>
      <c r="L708" s="105"/>
    </row>
    <row r="709" spans="2:12" ht="15.95" customHeight="1" x14ac:dyDescent="0.2">
      <c r="B709" s="105"/>
      <c r="H709" s="443"/>
      <c r="I709" s="443"/>
      <c r="J709" s="105"/>
      <c r="K709" s="105"/>
      <c r="L709" s="105"/>
    </row>
    <row r="710" spans="2:12" ht="15.95" customHeight="1" x14ac:dyDescent="0.2">
      <c r="B710" s="105"/>
      <c r="H710" s="443"/>
      <c r="I710" s="443"/>
      <c r="J710" s="105"/>
      <c r="K710" s="105"/>
      <c r="L710" s="105"/>
    </row>
    <row r="711" spans="2:12" ht="15.95" customHeight="1" x14ac:dyDescent="0.2">
      <c r="B711" s="105"/>
      <c r="H711" s="443"/>
      <c r="I711" s="443"/>
      <c r="J711" s="105"/>
      <c r="K711" s="105"/>
      <c r="L711" s="105"/>
    </row>
    <row r="712" spans="2:12" ht="15.95" customHeight="1" x14ac:dyDescent="0.2">
      <c r="B712" s="105"/>
      <c r="H712" s="443"/>
      <c r="I712" s="443"/>
      <c r="J712" s="105"/>
      <c r="K712" s="105"/>
      <c r="L712" s="105"/>
    </row>
    <row r="713" spans="2:12" ht="15.95" customHeight="1" x14ac:dyDescent="0.2">
      <c r="B713" s="105"/>
      <c r="H713" s="443"/>
      <c r="I713" s="443"/>
      <c r="J713" s="105"/>
      <c r="K713" s="105"/>
      <c r="L713" s="105"/>
    </row>
    <row r="714" spans="2:12" ht="15.95" customHeight="1" x14ac:dyDescent="0.2">
      <c r="B714" s="105"/>
      <c r="H714" s="443"/>
      <c r="I714" s="443"/>
      <c r="J714" s="105"/>
      <c r="K714" s="105"/>
      <c r="L714" s="105"/>
    </row>
    <row r="715" spans="2:12" ht="15.95" customHeight="1" x14ac:dyDescent="0.2">
      <c r="B715" s="105"/>
      <c r="H715" s="443"/>
      <c r="I715" s="443"/>
      <c r="J715" s="105"/>
      <c r="K715" s="105"/>
      <c r="L715" s="105"/>
    </row>
    <row r="716" spans="2:12" ht="15.95" customHeight="1" x14ac:dyDescent="0.2">
      <c r="B716" s="105"/>
      <c r="H716" s="443"/>
      <c r="I716" s="443"/>
      <c r="J716" s="105"/>
      <c r="K716" s="105"/>
      <c r="L716" s="105"/>
    </row>
    <row r="717" spans="2:12" ht="15.95" customHeight="1" x14ac:dyDescent="0.2">
      <c r="B717" s="105"/>
      <c r="H717" s="443"/>
      <c r="I717" s="443"/>
      <c r="J717" s="105"/>
      <c r="K717" s="105"/>
      <c r="L717" s="105"/>
    </row>
    <row r="718" spans="2:12" ht="15.95" customHeight="1" x14ac:dyDescent="0.2">
      <c r="B718" s="105"/>
      <c r="H718" s="443"/>
      <c r="I718" s="443"/>
      <c r="J718" s="105"/>
      <c r="K718" s="105"/>
      <c r="L718" s="105"/>
    </row>
    <row r="719" spans="2:12" ht="15.95" customHeight="1" x14ac:dyDescent="0.2">
      <c r="B719" s="105"/>
      <c r="H719" s="443"/>
      <c r="I719" s="443"/>
      <c r="J719" s="105"/>
      <c r="K719" s="105"/>
      <c r="L719" s="105"/>
    </row>
    <row r="720" spans="2:12" ht="15.95" customHeight="1" x14ac:dyDescent="0.2">
      <c r="B720" s="105"/>
      <c r="H720" s="443"/>
      <c r="I720" s="443"/>
      <c r="J720" s="105"/>
      <c r="K720" s="105"/>
    </row>
    <row r="721" spans="2:10" ht="15.95" customHeight="1" x14ac:dyDescent="0.2">
      <c r="B721" s="105"/>
      <c r="H721" s="443"/>
      <c r="I721" s="443"/>
      <c r="J721" s="105"/>
    </row>
    <row r="722" spans="2:10" ht="15.95" customHeight="1" x14ac:dyDescent="0.2">
      <c r="B722" s="105"/>
      <c r="H722" s="443"/>
      <c r="I722" s="443"/>
      <c r="J722" s="105"/>
    </row>
    <row r="723" spans="2:10" ht="15.95" customHeight="1" x14ac:dyDescent="0.2">
      <c r="B723" s="105"/>
      <c r="H723" s="443"/>
      <c r="I723" s="443"/>
      <c r="J723" s="105"/>
    </row>
    <row r="724" spans="2:10" ht="15.95" customHeight="1" x14ac:dyDescent="0.2">
      <c r="B724" s="105"/>
      <c r="H724" s="443"/>
      <c r="I724" s="443"/>
      <c r="J724" s="105"/>
    </row>
    <row r="725" spans="2:10" ht="15.95" customHeight="1" x14ac:dyDescent="0.2">
      <c r="B725" s="105"/>
      <c r="H725" s="443"/>
      <c r="I725" s="443"/>
      <c r="J725" s="105"/>
    </row>
    <row r="726" spans="2:10" ht="15.95" customHeight="1" x14ac:dyDescent="0.2">
      <c r="B726" s="105"/>
      <c r="H726" s="443"/>
      <c r="I726" s="443"/>
      <c r="J726" s="105"/>
    </row>
    <row r="727" spans="2:10" ht="15.95" customHeight="1" x14ac:dyDescent="0.2">
      <c r="B727" s="105"/>
      <c r="H727" s="443"/>
      <c r="I727" s="443"/>
      <c r="J727" s="105"/>
    </row>
    <row r="728" spans="2:10" ht="15.95" customHeight="1" x14ac:dyDescent="0.2">
      <c r="B728" s="105"/>
      <c r="H728" s="443"/>
      <c r="I728" s="443"/>
      <c r="J728" s="105"/>
    </row>
    <row r="729" spans="2:10" ht="15.95" customHeight="1" x14ac:dyDescent="0.2">
      <c r="B729" s="105"/>
      <c r="H729" s="443"/>
      <c r="I729" s="443"/>
      <c r="J729" s="105"/>
    </row>
    <row r="730" spans="2:10" ht="15.95" customHeight="1" x14ac:dyDescent="0.2">
      <c r="B730" s="105"/>
      <c r="H730" s="443"/>
      <c r="I730" s="443"/>
      <c r="J730" s="105"/>
    </row>
    <row r="731" spans="2:10" ht="15.95" customHeight="1" x14ac:dyDescent="0.2">
      <c r="B731" s="105"/>
      <c r="H731" s="443"/>
      <c r="I731" s="443"/>
      <c r="J731" s="105"/>
    </row>
    <row r="732" spans="2:10" ht="15.95" customHeight="1" x14ac:dyDescent="0.2">
      <c r="B732" s="105"/>
      <c r="H732" s="443"/>
      <c r="I732" s="443"/>
      <c r="J732" s="105"/>
    </row>
    <row r="733" spans="2:10" ht="15.95" customHeight="1" x14ac:dyDescent="0.2">
      <c r="B733" s="105"/>
      <c r="H733" s="443"/>
      <c r="I733" s="443"/>
      <c r="J733" s="105"/>
    </row>
  </sheetData>
  <mergeCells count="26">
    <mergeCell ref="B99:H99"/>
    <mergeCell ref="B117:H117"/>
    <mergeCell ref="B3:J3"/>
    <mergeCell ref="B4:J4"/>
    <mergeCell ref="B10:B11"/>
    <mergeCell ref="B106:H106"/>
    <mergeCell ref="C12:F12"/>
    <mergeCell ref="B31:H31"/>
    <mergeCell ref="C10:F11"/>
    <mergeCell ref="G10:H11"/>
    <mergeCell ref="B125:H125"/>
    <mergeCell ref="B160:H160"/>
    <mergeCell ref="B333:H333"/>
    <mergeCell ref="B38:H38"/>
    <mergeCell ref="B243:H243"/>
    <mergeCell ref="B309:H309"/>
    <mergeCell ref="B322:H322"/>
    <mergeCell ref="B129:H129"/>
    <mergeCell ref="B209:H209"/>
    <mergeCell ref="B172:H172"/>
    <mergeCell ref="B48:H48"/>
    <mergeCell ref="B198:H198"/>
    <mergeCell ref="B230:H230"/>
    <mergeCell ref="B275:H275"/>
    <mergeCell ref="B68:H68"/>
    <mergeCell ref="B91:H91"/>
  </mergeCells>
  <printOptions horizontalCentered="1"/>
  <pageMargins left="0" right="0" top="0.5" bottom="0" header="0.5" footer="0"/>
  <pageSetup paperSize="9" scale="65" orientation="portrait" horizontalDpi="4294967294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852"/>
  <sheetViews>
    <sheetView view="pageBreakPreview" topLeftCell="A10" zoomScale="73" zoomScaleNormal="82" zoomScaleSheetLayoutView="73" workbookViewId="0">
      <pane ySplit="1305" topLeftCell="A226" activePane="bottomLeft"/>
      <selection activeCell="J10" sqref="J1:J65536"/>
      <selection pane="bottomLeft" activeCell="K240" sqref="K240"/>
    </sheetView>
  </sheetViews>
  <sheetFormatPr defaultRowHeight="15.75" x14ac:dyDescent="0.25"/>
  <cols>
    <col min="1" max="1" width="4.85546875" style="157" customWidth="1"/>
    <col min="2" max="2" width="5.7109375" style="157" customWidth="1"/>
    <col min="3" max="3" width="32.7109375" style="157" customWidth="1"/>
    <col min="4" max="4" width="7.42578125" style="157" customWidth="1"/>
    <col min="5" max="5" width="40.7109375" style="157" customWidth="1"/>
    <col min="6" max="8" width="15.7109375" style="157" customWidth="1"/>
    <col min="9" max="9" width="10.7109375" style="157" customWidth="1"/>
    <col min="10" max="10" width="9.28515625" style="227" customWidth="1"/>
    <col min="11" max="11" width="15.7109375" style="157" customWidth="1"/>
    <col min="12" max="12" width="30.28515625" style="157" customWidth="1"/>
    <col min="13" max="13" width="15.140625" style="157" customWidth="1"/>
    <col min="14" max="14" width="11.140625" style="157" bestFit="1" customWidth="1"/>
    <col min="15" max="16384" width="9.140625" style="157"/>
  </cols>
  <sheetData>
    <row r="1" spans="1:17" s="221" customFormat="1" ht="37.5" customHeight="1" thickBot="1" x14ac:dyDescent="0.25">
      <c r="A1" s="530" t="s">
        <v>179</v>
      </c>
      <c r="B1" s="531"/>
      <c r="C1" s="531"/>
      <c r="D1" s="531"/>
      <c r="E1" s="531"/>
      <c r="F1" s="531"/>
      <c r="G1" s="531"/>
      <c r="H1" s="531"/>
      <c r="I1" s="531"/>
      <c r="J1" s="531"/>
      <c r="K1" s="532"/>
      <c r="L1" s="219"/>
      <c r="M1" s="220"/>
    </row>
    <row r="2" spans="1:17" s="166" customFormat="1" ht="18" customHeight="1" x14ac:dyDescent="0.2">
      <c r="A2" s="158"/>
      <c r="B2" s="159" t="str">
        <f>[12]REmG.1!$G$6</f>
        <v>Kegiatan</v>
      </c>
      <c r="C2" s="159"/>
      <c r="D2" s="160" t="s">
        <v>0</v>
      </c>
      <c r="E2" s="161" t="e">
        <f>GEDUNG!#REF!</f>
        <v>#REF!</v>
      </c>
      <c r="F2" s="162"/>
      <c r="G2" s="163"/>
      <c r="H2" s="163"/>
      <c r="I2" s="164"/>
      <c r="J2" s="222"/>
      <c r="K2" s="165"/>
      <c r="L2" s="163"/>
      <c r="M2" s="165"/>
    </row>
    <row r="3" spans="1:17" s="166" customFormat="1" ht="18" customHeight="1" x14ac:dyDescent="0.2">
      <c r="A3" s="158"/>
      <c r="B3" s="159" t="str">
        <f>[12]REmG.1!$G$7</f>
        <v>Pekerjaan</v>
      </c>
      <c r="C3" s="159"/>
      <c r="D3" s="160" t="s">
        <v>0</v>
      </c>
      <c r="E3" s="161" t="str">
        <f>GEDUNG!F6</f>
        <v>GEDUNG KANTOR PT. JASA RAHARJA (Persero) CABANG JAMBI</v>
      </c>
      <c r="F3" s="162"/>
      <c r="G3" s="163"/>
      <c r="H3" s="163"/>
      <c r="I3" s="164"/>
      <c r="J3" s="222"/>
      <c r="K3" s="165"/>
      <c r="L3" s="163"/>
      <c r="M3" s="165"/>
    </row>
    <row r="4" spans="1:17" s="147" customFormat="1" ht="18" hidden="1" customHeight="1" x14ac:dyDescent="0.2">
      <c r="A4" s="148"/>
      <c r="B4" s="149" t="str">
        <f>[12]REmG.1!$G$8</f>
        <v>Nilai Kontrak</v>
      </c>
      <c r="C4" s="149"/>
      <c r="D4" s="150" t="s">
        <v>0</v>
      </c>
      <c r="E4" s="154" t="str">
        <f>[13]cco!$I$8</f>
        <v>Rp.7.579.382.000,-</v>
      </c>
      <c r="F4" s="151"/>
      <c r="G4" s="152"/>
      <c r="H4" s="152"/>
      <c r="I4" s="153"/>
      <c r="J4" s="223"/>
      <c r="K4" s="155"/>
      <c r="L4" s="152"/>
      <c r="M4" s="155"/>
    </row>
    <row r="5" spans="1:17" s="147" customFormat="1" ht="18" hidden="1" customHeight="1" x14ac:dyDescent="0.2">
      <c r="A5" s="148"/>
      <c r="B5" s="149" t="str">
        <f>[12]REmG.1!$G$9</f>
        <v>Nomor SP</v>
      </c>
      <c r="C5" s="149"/>
      <c r="D5" s="150" t="s">
        <v>0</v>
      </c>
      <c r="E5" s="154">
        <f>[13]cco!$I$9</f>
        <v>0</v>
      </c>
      <c r="F5" s="151"/>
      <c r="G5" s="152"/>
      <c r="H5" s="152"/>
      <c r="I5" s="153"/>
      <c r="J5" s="223"/>
      <c r="K5" s="155"/>
      <c r="L5" s="152"/>
      <c r="M5" s="155"/>
    </row>
    <row r="6" spans="1:17" s="147" customFormat="1" ht="18" hidden="1" customHeight="1" x14ac:dyDescent="0.2">
      <c r="A6" s="148"/>
      <c r="B6" s="149" t="str">
        <f>[12]REmG.1!$G$11</f>
        <v>Kontraktor Pelaksana</v>
      </c>
      <c r="C6" s="149"/>
      <c r="D6" s="150" t="s">
        <v>0</v>
      </c>
      <c r="E6" s="154" t="str">
        <f>[13]cco!$I$11</f>
        <v>PT. TASYA TOTAL PERSADA</v>
      </c>
      <c r="F6" s="151"/>
      <c r="G6" s="152"/>
      <c r="H6" s="152"/>
      <c r="I6" s="153"/>
      <c r="J6" s="223"/>
      <c r="K6" s="155"/>
      <c r="L6" s="152"/>
      <c r="M6" s="155"/>
    </row>
    <row r="7" spans="1:17" s="147" customFormat="1" ht="18" hidden="1" customHeight="1" x14ac:dyDescent="0.2">
      <c r="A7" s="148"/>
      <c r="B7" s="149" t="str">
        <f>[12]REmG.1!$G$12</f>
        <v>Konsultan Pengawas</v>
      </c>
      <c r="C7" s="149"/>
      <c r="D7" s="150" t="s">
        <v>0</v>
      </c>
      <c r="E7" s="154">
        <f>[13]cco!$I$12</f>
        <v>0</v>
      </c>
      <c r="F7" s="151"/>
      <c r="G7" s="152"/>
      <c r="H7" s="152"/>
      <c r="I7" s="153"/>
      <c r="J7" s="223"/>
      <c r="K7" s="155"/>
      <c r="L7" s="152"/>
      <c r="M7" s="155"/>
    </row>
    <row r="8" spans="1:17" s="147" customFormat="1" ht="18" hidden="1" customHeight="1" x14ac:dyDescent="0.2">
      <c r="A8" s="148"/>
      <c r="B8" s="149" t="str">
        <f>[12]REmG.1!$G$13</f>
        <v>Masa Pelaksanaan</v>
      </c>
      <c r="C8" s="149"/>
      <c r="D8" s="150" t="s">
        <v>0</v>
      </c>
      <c r="E8" s="154" t="str">
        <f>[12]REmG.1!$I$13</f>
        <v>150 Hari Kalender</v>
      </c>
      <c r="F8" s="151"/>
      <c r="G8" s="152"/>
      <c r="H8" s="152"/>
      <c r="I8" s="153"/>
      <c r="J8" s="223"/>
      <c r="K8" s="155"/>
      <c r="L8" s="152"/>
      <c r="M8" s="155"/>
    </row>
    <row r="9" spans="1:17" s="147" customFormat="1" ht="18" hidden="1" customHeight="1" x14ac:dyDescent="0.2">
      <c r="A9" s="148"/>
      <c r="B9" s="149" t="str">
        <f>[12]REmG.1!$G$14</f>
        <v>Masa Pemeliharaan</v>
      </c>
      <c r="C9" s="149"/>
      <c r="D9" s="150" t="s">
        <v>0</v>
      </c>
      <c r="E9" s="154" t="str">
        <f>[12]REmG.1!$I$14</f>
        <v>180 Hari Kalender</v>
      </c>
      <c r="F9" s="151"/>
      <c r="G9" s="152"/>
      <c r="H9" s="152"/>
      <c r="I9" s="153"/>
      <c r="J9" s="223"/>
      <c r="K9" s="155"/>
      <c r="L9" s="152"/>
      <c r="M9" s="155"/>
    </row>
    <row r="10" spans="1:17" s="147" customFormat="1" ht="18" customHeight="1" x14ac:dyDescent="0.2">
      <c r="A10" s="148"/>
      <c r="B10" s="150"/>
      <c r="C10" s="150"/>
      <c r="D10" s="150"/>
      <c r="E10" s="150"/>
      <c r="F10" s="151"/>
      <c r="G10" s="152"/>
      <c r="H10" s="152"/>
      <c r="I10" s="153"/>
      <c r="J10" s="223"/>
      <c r="K10" s="155"/>
      <c r="L10" s="152"/>
      <c r="M10" s="155"/>
    </row>
    <row r="11" spans="1:17" s="147" customFormat="1" ht="18" customHeight="1" thickBot="1" x14ac:dyDescent="0.25">
      <c r="A11" s="148"/>
      <c r="B11" s="150"/>
      <c r="C11" s="156"/>
      <c r="D11" s="150"/>
      <c r="E11" s="150"/>
      <c r="F11" s="151"/>
      <c r="G11" s="152"/>
      <c r="H11" s="152"/>
      <c r="I11" s="153"/>
      <c r="J11" s="223"/>
      <c r="K11" s="155"/>
      <c r="L11" s="152"/>
      <c r="M11" s="155"/>
    </row>
    <row r="12" spans="1:17" s="218" customFormat="1" ht="20.100000000000001" customHeight="1" x14ac:dyDescent="0.35">
      <c r="A12" s="533" t="s">
        <v>180</v>
      </c>
      <c r="B12" s="535" t="s">
        <v>181</v>
      </c>
      <c r="C12" s="536"/>
      <c r="D12" s="536"/>
      <c r="E12" s="536"/>
      <c r="F12" s="539" t="s">
        <v>182</v>
      </c>
      <c r="G12" s="540"/>
      <c r="H12" s="540"/>
      <c r="I12" s="541" t="s">
        <v>183</v>
      </c>
      <c r="J12" s="526" t="s">
        <v>69</v>
      </c>
      <c r="K12" s="528" t="s">
        <v>184</v>
      </c>
      <c r="L12" s="524" t="s">
        <v>185</v>
      </c>
      <c r="M12" s="522" t="s">
        <v>186</v>
      </c>
    </row>
    <row r="13" spans="1:17" s="218" customFormat="1" ht="20.100000000000001" customHeight="1" thickBot="1" x14ac:dyDescent="0.4">
      <c r="A13" s="534"/>
      <c r="B13" s="537"/>
      <c r="C13" s="538"/>
      <c r="D13" s="538"/>
      <c r="E13" s="538"/>
      <c r="F13" s="215" t="s">
        <v>124</v>
      </c>
      <c r="G13" s="216" t="s">
        <v>55</v>
      </c>
      <c r="H13" s="217" t="s">
        <v>126</v>
      </c>
      <c r="I13" s="542"/>
      <c r="J13" s="527"/>
      <c r="K13" s="529"/>
      <c r="L13" s="525"/>
      <c r="M13" s="523"/>
    </row>
    <row r="14" spans="1:17" s="173" customFormat="1" ht="24.95" customHeight="1" x14ac:dyDescent="0.35">
      <c r="A14" s="206" t="s">
        <v>24</v>
      </c>
      <c r="B14" s="167" t="s">
        <v>25</v>
      </c>
      <c r="C14" s="168"/>
      <c r="D14" s="168"/>
      <c r="E14" s="168"/>
      <c r="F14" s="169"/>
      <c r="G14" s="170"/>
      <c r="H14" s="170"/>
      <c r="I14" s="171"/>
      <c r="J14" s="224"/>
      <c r="K14" s="170"/>
      <c r="L14" s="168"/>
      <c r="M14" s="172"/>
      <c r="O14" s="173" t="s">
        <v>187</v>
      </c>
      <c r="Q14" s="173" t="s">
        <v>188</v>
      </c>
    </row>
    <row r="15" spans="1:17" s="185" customFormat="1" ht="24.95" customHeight="1" x14ac:dyDescent="0.3">
      <c r="A15" s="207"/>
      <c r="B15" s="186">
        <v>1</v>
      </c>
      <c r="C15" s="178" t="str">
        <f>GEDUNG!D14</f>
        <v>Pek. Papan Nama Proyek</v>
      </c>
      <c r="D15" s="179"/>
      <c r="E15" s="179"/>
      <c r="F15" s="180"/>
      <c r="G15" s="181"/>
      <c r="H15" s="181"/>
      <c r="I15" s="182">
        <v>1</v>
      </c>
      <c r="J15" s="225" t="s">
        <v>30</v>
      </c>
      <c r="K15" s="181">
        <f>I15</f>
        <v>1</v>
      </c>
      <c r="L15" s="183"/>
      <c r="M15" s="184"/>
    </row>
    <row r="16" spans="1:17" s="175" customFormat="1" ht="24.95" customHeight="1" thickBot="1" x14ac:dyDescent="0.4">
      <c r="A16" s="208"/>
      <c r="B16" s="516" t="s">
        <v>189</v>
      </c>
      <c r="C16" s="517"/>
      <c r="D16" s="517"/>
      <c r="E16" s="517"/>
      <c r="F16" s="517"/>
      <c r="G16" s="517"/>
      <c r="H16" s="517"/>
      <c r="I16" s="517"/>
      <c r="J16" s="518"/>
      <c r="K16" s="209">
        <f>SUM(K15)</f>
        <v>1</v>
      </c>
      <c r="L16" s="176"/>
      <c r="M16" s="174"/>
    </row>
    <row r="17" spans="1:13" s="185" customFormat="1" ht="24.95" customHeight="1" x14ac:dyDescent="0.3">
      <c r="A17" s="207"/>
      <c r="B17" s="186">
        <v>2</v>
      </c>
      <c r="C17" s="178" t="e">
        <f>GEDUNG!#REF!</f>
        <v>#REF!</v>
      </c>
      <c r="D17" s="179"/>
      <c r="E17" s="179"/>
      <c r="F17" s="180">
        <v>35</v>
      </c>
      <c r="G17" s="181"/>
      <c r="H17" s="181"/>
      <c r="I17" s="182">
        <v>4</v>
      </c>
      <c r="J17" s="225" t="s">
        <v>30</v>
      </c>
      <c r="K17" s="181">
        <f>F17*I17</f>
        <v>140</v>
      </c>
      <c r="L17" s="183"/>
      <c r="M17" s="184"/>
    </row>
    <row r="18" spans="1:13" s="175" customFormat="1" ht="24.95" customHeight="1" thickBot="1" x14ac:dyDescent="0.4">
      <c r="A18" s="208"/>
      <c r="B18" s="516" t="s">
        <v>189</v>
      </c>
      <c r="C18" s="517"/>
      <c r="D18" s="517"/>
      <c r="E18" s="517"/>
      <c r="F18" s="517"/>
      <c r="G18" s="517"/>
      <c r="H18" s="517"/>
      <c r="I18" s="517"/>
      <c r="J18" s="518"/>
      <c r="K18" s="209">
        <f>SUM(K17)</f>
        <v>140</v>
      </c>
      <c r="L18" s="176"/>
      <c r="M18" s="174"/>
    </row>
    <row r="19" spans="1:13" s="185" customFormat="1" ht="24.95" customHeight="1" x14ac:dyDescent="0.3">
      <c r="A19" s="207"/>
      <c r="B19" s="186">
        <v>3</v>
      </c>
      <c r="C19" s="178" t="str">
        <f>GEDUNG!D15</f>
        <v>Pek. Pek. Bouwplank/Pengukuran</v>
      </c>
      <c r="D19" s="179"/>
      <c r="E19" s="179"/>
      <c r="F19" s="180"/>
      <c r="G19" s="181"/>
      <c r="H19" s="181"/>
      <c r="I19" s="182">
        <v>1</v>
      </c>
      <c r="J19" s="225" t="s">
        <v>30</v>
      </c>
      <c r="K19" s="181">
        <f>I19</f>
        <v>1</v>
      </c>
      <c r="L19" s="183"/>
      <c r="M19" s="184"/>
    </row>
    <row r="20" spans="1:13" s="175" customFormat="1" ht="24.95" customHeight="1" thickBot="1" x14ac:dyDescent="0.4">
      <c r="A20" s="208"/>
      <c r="B20" s="516" t="s">
        <v>189</v>
      </c>
      <c r="C20" s="517"/>
      <c r="D20" s="517"/>
      <c r="E20" s="517"/>
      <c r="F20" s="517"/>
      <c r="G20" s="517"/>
      <c r="H20" s="517"/>
      <c r="I20" s="517"/>
      <c r="J20" s="518"/>
      <c r="K20" s="209">
        <f>SUM(K19)</f>
        <v>1</v>
      </c>
      <c r="L20" s="176"/>
      <c r="M20" s="174"/>
    </row>
    <row r="21" spans="1:13" s="185" customFormat="1" ht="24.95" customHeight="1" x14ac:dyDescent="0.3">
      <c r="A21" s="207"/>
      <c r="B21" s="186">
        <f>B19+1</f>
        <v>4</v>
      </c>
      <c r="C21" s="178" t="str">
        <f>GEDUNG!D16</f>
        <v>Pek. Pembuatan Direksikeet</v>
      </c>
      <c r="D21" s="179"/>
      <c r="E21" s="179"/>
      <c r="F21" s="180">
        <v>7</v>
      </c>
      <c r="G21" s="181">
        <v>3</v>
      </c>
      <c r="H21" s="181"/>
      <c r="I21" s="182">
        <v>1</v>
      </c>
      <c r="J21" s="225" t="s">
        <v>30</v>
      </c>
      <c r="K21" s="181">
        <f>F21*G21*I21</f>
        <v>21</v>
      </c>
      <c r="L21" s="183"/>
      <c r="M21" s="184"/>
    </row>
    <row r="22" spans="1:13" s="175" customFormat="1" ht="24.95" customHeight="1" thickBot="1" x14ac:dyDescent="0.4">
      <c r="A22" s="208"/>
      <c r="B22" s="516" t="s">
        <v>189</v>
      </c>
      <c r="C22" s="517"/>
      <c r="D22" s="517"/>
      <c r="E22" s="517"/>
      <c r="F22" s="517"/>
      <c r="G22" s="517"/>
      <c r="H22" s="517"/>
      <c r="I22" s="517"/>
      <c r="J22" s="518"/>
      <c r="K22" s="209">
        <f>SUM(K21)</f>
        <v>21</v>
      </c>
      <c r="L22" s="176"/>
      <c r="M22" s="174"/>
    </row>
    <row r="23" spans="1:13" s="185" customFormat="1" ht="24.95" customHeight="1" x14ac:dyDescent="0.3">
      <c r="A23" s="207"/>
      <c r="B23" s="186">
        <f>B21+1</f>
        <v>5</v>
      </c>
      <c r="C23" s="178" t="str">
        <f>GEDUNG!D17</f>
        <v>Pek. Pembongkaran Dinding Batu Bata</v>
      </c>
      <c r="D23" s="179"/>
      <c r="E23" s="179"/>
      <c r="F23" s="180"/>
      <c r="G23" s="181"/>
      <c r="H23" s="181"/>
      <c r="I23" s="182">
        <v>1</v>
      </c>
      <c r="J23" s="225" t="s">
        <v>30</v>
      </c>
      <c r="K23" s="181">
        <f>I23</f>
        <v>1</v>
      </c>
      <c r="L23" s="183"/>
      <c r="M23" s="184"/>
    </row>
    <row r="24" spans="1:13" s="175" customFormat="1" ht="24.95" customHeight="1" thickBot="1" x14ac:dyDescent="0.4">
      <c r="A24" s="208"/>
      <c r="B24" s="516" t="s">
        <v>189</v>
      </c>
      <c r="C24" s="517"/>
      <c r="D24" s="517"/>
      <c r="E24" s="517"/>
      <c r="F24" s="517"/>
      <c r="G24" s="517"/>
      <c r="H24" s="517"/>
      <c r="I24" s="517"/>
      <c r="J24" s="518"/>
      <c r="K24" s="209">
        <f>SUM(K23)</f>
        <v>1</v>
      </c>
      <c r="L24" s="176"/>
      <c r="M24" s="174"/>
    </row>
    <row r="25" spans="1:13" s="185" customFormat="1" ht="24.95" customHeight="1" x14ac:dyDescent="0.3">
      <c r="A25" s="207"/>
      <c r="B25" s="186">
        <f>B23+1</f>
        <v>6</v>
      </c>
      <c r="C25" s="178" t="str">
        <f>GEDUNG!D26</f>
        <v>Pek. Pembersihan Awal dan akhir Kegiatan</v>
      </c>
      <c r="D25" s="179"/>
      <c r="E25" s="179"/>
      <c r="F25" s="180"/>
      <c r="G25" s="181"/>
      <c r="H25" s="181"/>
      <c r="I25" s="182">
        <v>1</v>
      </c>
      <c r="J25" s="225" t="s">
        <v>30</v>
      </c>
      <c r="K25" s="181">
        <f>I25</f>
        <v>1</v>
      </c>
      <c r="L25" s="183"/>
      <c r="M25" s="184"/>
    </row>
    <row r="26" spans="1:13" s="175" customFormat="1" ht="24.95" customHeight="1" thickBot="1" x14ac:dyDescent="0.4">
      <c r="A26" s="208"/>
      <c r="B26" s="516" t="s">
        <v>189</v>
      </c>
      <c r="C26" s="517"/>
      <c r="D26" s="517"/>
      <c r="E26" s="517"/>
      <c r="F26" s="517"/>
      <c r="G26" s="517"/>
      <c r="H26" s="517"/>
      <c r="I26" s="517"/>
      <c r="J26" s="518"/>
      <c r="K26" s="209">
        <f>SUM(K25)</f>
        <v>1</v>
      </c>
      <c r="L26" s="176"/>
      <c r="M26" s="174"/>
    </row>
    <row r="27" spans="1:13" s="185" customFormat="1" ht="24.95" customHeight="1" x14ac:dyDescent="0.3">
      <c r="A27" s="207"/>
      <c r="B27" s="186">
        <v>7</v>
      </c>
      <c r="C27" s="178" t="str">
        <f>GEDUNG!D27</f>
        <v>Pek. Dokumentasi Dan Pelaporan</v>
      </c>
      <c r="D27" s="179"/>
      <c r="E27" s="179"/>
      <c r="F27" s="180"/>
      <c r="G27" s="181"/>
      <c r="H27" s="181"/>
      <c r="I27" s="182">
        <v>1</v>
      </c>
      <c r="J27" s="225" t="s">
        <v>30</v>
      </c>
      <c r="K27" s="181">
        <f>I27</f>
        <v>1</v>
      </c>
      <c r="L27" s="183"/>
      <c r="M27" s="184"/>
    </row>
    <row r="28" spans="1:13" s="175" customFormat="1" ht="24.95" customHeight="1" thickBot="1" x14ac:dyDescent="0.4">
      <c r="A28" s="208"/>
      <c r="B28" s="516" t="s">
        <v>189</v>
      </c>
      <c r="C28" s="517"/>
      <c r="D28" s="517"/>
      <c r="E28" s="517"/>
      <c r="F28" s="517"/>
      <c r="G28" s="517"/>
      <c r="H28" s="517"/>
      <c r="I28" s="517"/>
      <c r="J28" s="518"/>
      <c r="K28" s="209">
        <f>SUM(K27)</f>
        <v>1</v>
      </c>
      <c r="L28" s="176"/>
      <c r="M28" s="174"/>
    </row>
    <row r="29" spans="1:13" s="194" customFormat="1" ht="24.95" customHeight="1" x14ac:dyDescent="0.35">
      <c r="A29" s="195" t="s">
        <v>42</v>
      </c>
      <c r="B29" s="196" t="str">
        <f>GEDUNG!D32</f>
        <v>PEKERJAAN TANAH DAN URUGAN</v>
      </c>
      <c r="C29" s="192"/>
      <c r="D29" s="192"/>
      <c r="E29" s="193"/>
      <c r="F29" s="187"/>
      <c r="G29" s="188"/>
      <c r="H29" s="188"/>
      <c r="I29" s="188"/>
      <c r="J29" s="226"/>
      <c r="K29" s="188"/>
    </row>
    <row r="30" spans="1:13" s="194" customFormat="1" ht="24.95" customHeight="1" x14ac:dyDescent="0.35">
      <c r="A30" s="189"/>
      <c r="B30" s="197">
        <v>1</v>
      </c>
      <c r="C30" s="192" t="str">
        <f>GEDUNG!D33</f>
        <v>Pek. Galian Tanah Pondasi</v>
      </c>
      <c r="D30" s="192"/>
      <c r="E30" s="193"/>
      <c r="F30" s="187"/>
      <c r="G30" s="188"/>
      <c r="H30" s="188"/>
      <c r="I30" s="188"/>
      <c r="J30" s="226"/>
      <c r="K30" s="253"/>
    </row>
    <row r="31" spans="1:13" s="194" customFormat="1" ht="24.95" customHeight="1" x14ac:dyDescent="0.35">
      <c r="A31" s="189"/>
      <c r="B31" s="190"/>
      <c r="C31" s="191"/>
      <c r="D31" s="192"/>
      <c r="E31" s="193" t="s">
        <v>176</v>
      </c>
      <c r="F31" s="187">
        <v>0.9</v>
      </c>
      <c r="G31" s="187">
        <v>0.9</v>
      </c>
      <c r="H31" s="188">
        <v>1</v>
      </c>
      <c r="I31" s="188">
        <v>6</v>
      </c>
      <c r="J31" s="226" t="s">
        <v>28</v>
      </c>
      <c r="K31" s="253">
        <f t="shared" ref="K31:K38" si="0">F31*G31*H31*I31</f>
        <v>4.8600000000000003</v>
      </c>
    </row>
    <row r="32" spans="1:13" s="237" customFormat="1" ht="24.95" customHeight="1" x14ac:dyDescent="0.35">
      <c r="A32" s="235"/>
      <c r="B32" s="238"/>
      <c r="C32" s="239"/>
      <c r="D32" s="236"/>
      <c r="E32" s="193" t="s">
        <v>177</v>
      </c>
      <c r="F32" s="187">
        <v>0.9</v>
      </c>
      <c r="G32" s="187">
        <v>0.9</v>
      </c>
      <c r="H32" s="188">
        <v>1</v>
      </c>
      <c r="I32" s="188">
        <v>40</v>
      </c>
      <c r="J32" s="226" t="s">
        <v>28</v>
      </c>
      <c r="K32" s="253">
        <f t="shared" si="0"/>
        <v>32.400000000000006</v>
      </c>
    </row>
    <row r="33" spans="1:11" s="237" customFormat="1" ht="24.95" customHeight="1" x14ac:dyDescent="0.35">
      <c r="A33" s="235"/>
      <c r="B33" s="238"/>
      <c r="C33" s="239"/>
      <c r="D33" s="236"/>
      <c r="E33" s="193" t="s">
        <v>201</v>
      </c>
      <c r="F33" s="187">
        <v>1.6</v>
      </c>
      <c r="G33" s="187">
        <v>0.9</v>
      </c>
      <c r="H33" s="188">
        <v>1.7</v>
      </c>
      <c r="I33" s="188">
        <v>3</v>
      </c>
      <c r="J33" s="226" t="s">
        <v>28</v>
      </c>
      <c r="K33" s="253">
        <f t="shared" si="0"/>
        <v>7.3440000000000012</v>
      </c>
    </row>
    <row r="34" spans="1:11" s="237" customFormat="1" ht="24.95" customHeight="1" x14ac:dyDescent="0.35">
      <c r="A34" s="235"/>
      <c r="B34" s="238"/>
      <c r="C34" s="239"/>
      <c r="D34" s="236"/>
      <c r="E34" s="193" t="s">
        <v>223</v>
      </c>
      <c r="F34" s="187">
        <v>3.65</v>
      </c>
      <c r="G34" s="187">
        <v>0.3</v>
      </c>
      <c r="H34" s="188">
        <v>0.5</v>
      </c>
      <c r="I34" s="188">
        <v>4</v>
      </c>
      <c r="J34" s="226" t="s">
        <v>28</v>
      </c>
      <c r="K34" s="253">
        <f t="shared" si="0"/>
        <v>2.19</v>
      </c>
    </row>
    <row r="35" spans="1:11" s="237" customFormat="1" ht="24.95" customHeight="1" x14ac:dyDescent="0.35">
      <c r="A35" s="235"/>
      <c r="B35" s="238"/>
      <c r="C35" s="239"/>
      <c r="D35" s="236"/>
      <c r="E35" s="193"/>
      <c r="F35" s="187">
        <v>3.625</v>
      </c>
      <c r="G35" s="187">
        <v>0.3</v>
      </c>
      <c r="H35" s="188">
        <v>0.5</v>
      </c>
      <c r="I35" s="188">
        <v>4</v>
      </c>
      <c r="J35" s="226" t="s">
        <v>28</v>
      </c>
      <c r="K35" s="253">
        <f t="shared" si="0"/>
        <v>2.1749999999999998</v>
      </c>
    </row>
    <row r="36" spans="1:11" s="237" customFormat="1" ht="24.95" customHeight="1" x14ac:dyDescent="0.35">
      <c r="A36" s="235"/>
      <c r="B36" s="238"/>
      <c r="C36" s="239"/>
      <c r="D36" s="236"/>
      <c r="E36" s="193"/>
      <c r="F36" s="187">
        <v>3.4649999999999999</v>
      </c>
      <c r="G36" s="187">
        <v>0.3</v>
      </c>
      <c r="H36" s="188">
        <v>0.5</v>
      </c>
      <c r="I36" s="188">
        <v>1</v>
      </c>
      <c r="J36" s="226" t="s">
        <v>28</v>
      </c>
      <c r="K36" s="253">
        <f t="shared" si="0"/>
        <v>0.51974999999999993</v>
      </c>
    </row>
    <row r="37" spans="1:11" s="237" customFormat="1" ht="24.95" customHeight="1" x14ac:dyDescent="0.35">
      <c r="A37" s="235"/>
      <c r="B37" s="238"/>
      <c r="C37" s="239"/>
      <c r="D37" s="236"/>
      <c r="E37" s="193"/>
      <c r="F37" s="187">
        <v>5.97</v>
      </c>
      <c r="G37" s="187">
        <v>0.3</v>
      </c>
      <c r="H37" s="188">
        <v>0.5</v>
      </c>
      <c r="I37" s="188">
        <v>1</v>
      </c>
      <c r="J37" s="226" t="s">
        <v>28</v>
      </c>
      <c r="K37" s="253">
        <f t="shared" si="0"/>
        <v>0.89549999999999996</v>
      </c>
    </row>
    <row r="38" spans="1:11" s="237" customFormat="1" ht="24.95" customHeight="1" x14ac:dyDescent="0.35">
      <c r="A38" s="235"/>
      <c r="B38" s="238"/>
      <c r="C38" s="239"/>
      <c r="D38" s="236"/>
      <c r="E38" s="193"/>
      <c r="F38" s="187">
        <v>2.65</v>
      </c>
      <c r="G38" s="187">
        <v>0.3</v>
      </c>
      <c r="H38" s="188">
        <v>0.5</v>
      </c>
      <c r="I38" s="188">
        <v>11</v>
      </c>
      <c r="J38" s="226" t="s">
        <v>28</v>
      </c>
      <c r="K38" s="253">
        <f t="shared" si="0"/>
        <v>4.3724999999999996</v>
      </c>
    </row>
    <row r="39" spans="1:11" s="237" customFormat="1" ht="24.95" customHeight="1" x14ac:dyDescent="0.35">
      <c r="A39" s="235"/>
      <c r="B39" s="238"/>
      <c r="C39" s="239"/>
      <c r="D39" s="236"/>
      <c r="E39" s="193"/>
      <c r="F39" s="187">
        <v>2.8</v>
      </c>
      <c r="G39" s="187">
        <v>0.3</v>
      </c>
      <c r="H39" s="188">
        <v>0.5</v>
      </c>
      <c r="I39" s="188">
        <v>1</v>
      </c>
      <c r="J39" s="226" t="s">
        <v>28</v>
      </c>
      <c r="K39" s="253">
        <f t="shared" ref="K39:K44" si="1">F39*G39*H39*I39</f>
        <v>0.42</v>
      </c>
    </row>
    <row r="40" spans="1:11" s="237" customFormat="1" ht="24.95" customHeight="1" x14ac:dyDescent="0.35">
      <c r="A40" s="235"/>
      <c r="B40" s="238"/>
      <c r="C40" s="239"/>
      <c r="D40" s="236"/>
      <c r="E40" s="193"/>
      <c r="F40" s="187">
        <v>1.65</v>
      </c>
      <c r="G40" s="187">
        <v>0.3</v>
      </c>
      <c r="H40" s="188">
        <v>0.5</v>
      </c>
      <c r="I40" s="188">
        <v>3</v>
      </c>
      <c r="J40" s="226" t="s">
        <v>28</v>
      </c>
      <c r="K40" s="253">
        <f t="shared" si="1"/>
        <v>0.74249999999999994</v>
      </c>
    </row>
    <row r="41" spans="1:11" s="237" customFormat="1" ht="24.95" customHeight="1" x14ac:dyDescent="0.35">
      <c r="A41" s="235"/>
      <c r="B41" s="238"/>
      <c r="C41" s="239"/>
      <c r="D41" s="236"/>
      <c r="E41" s="193"/>
      <c r="F41" s="187">
        <v>1.87</v>
      </c>
      <c r="G41" s="187">
        <v>0.3</v>
      </c>
      <c r="H41" s="188">
        <v>0.5</v>
      </c>
      <c r="I41" s="188">
        <v>1</v>
      </c>
      <c r="J41" s="226" t="s">
        <v>28</v>
      </c>
      <c r="K41" s="253">
        <f t="shared" si="1"/>
        <v>0.28050000000000003</v>
      </c>
    </row>
    <row r="42" spans="1:11" s="237" customFormat="1" ht="24.95" customHeight="1" x14ac:dyDescent="0.35">
      <c r="A42" s="235"/>
      <c r="B42" s="238"/>
      <c r="C42" s="239"/>
      <c r="D42" s="236"/>
      <c r="E42" s="193"/>
      <c r="F42" s="187">
        <v>1.42</v>
      </c>
      <c r="G42" s="187">
        <v>0.3</v>
      </c>
      <c r="H42" s="188">
        <v>0.5</v>
      </c>
      <c r="I42" s="188">
        <v>1</v>
      </c>
      <c r="J42" s="226" t="s">
        <v>28</v>
      </c>
      <c r="K42" s="253">
        <f t="shared" si="1"/>
        <v>0.21299999999999999</v>
      </c>
    </row>
    <row r="43" spans="1:11" s="237" customFormat="1" ht="24.95" customHeight="1" x14ac:dyDescent="0.35">
      <c r="A43" s="235"/>
      <c r="B43" s="238"/>
      <c r="C43" s="239"/>
      <c r="D43" s="236"/>
      <c r="E43" s="193"/>
      <c r="F43" s="187">
        <v>0.93</v>
      </c>
      <c r="G43" s="187">
        <v>0.3</v>
      </c>
      <c r="H43" s="188">
        <v>0.5</v>
      </c>
      <c r="I43" s="188">
        <v>2</v>
      </c>
      <c r="J43" s="226" t="s">
        <v>28</v>
      </c>
      <c r="K43" s="253">
        <f t="shared" si="1"/>
        <v>0.27900000000000003</v>
      </c>
    </row>
    <row r="44" spans="1:11" s="237" customFormat="1" ht="24.95" customHeight="1" x14ac:dyDescent="0.35">
      <c r="A44" s="235"/>
      <c r="B44" s="238"/>
      <c r="C44" s="239"/>
      <c r="D44" s="236"/>
      <c r="E44" s="193"/>
      <c r="F44" s="187">
        <v>2.2000000000000002</v>
      </c>
      <c r="G44" s="187">
        <v>0.3</v>
      </c>
      <c r="H44" s="188">
        <v>0.5</v>
      </c>
      <c r="I44" s="188">
        <v>1</v>
      </c>
      <c r="J44" s="226" t="s">
        <v>28</v>
      </c>
      <c r="K44" s="253">
        <f t="shared" si="1"/>
        <v>0.33</v>
      </c>
    </row>
    <row r="45" spans="1:11" s="237" customFormat="1" ht="24.95" customHeight="1" x14ac:dyDescent="0.35">
      <c r="A45" s="235"/>
      <c r="B45" s="238"/>
      <c r="C45" s="239"/>
      <c r="D45" s="236"/>
      <c r="E45" s="193"/>
      <c r="F45" s="187">
        <v>2.15</v>
      </c>
      <c r="G45" s="187">
        <v>0.3</v>
      </c>
      <c r="H45" s="188">
        <v>0.5</v>
      </c>
      <c r="I45" s="188">
        <v>1</v>
      </c>
      <c r="J45" s="226" t="s">
        <v>28</v>
      </c>
      <c r="K45" s="253">
        <f t="shared" ref="K45:K50" si="2">F45*G45*H45*I45</f>
        <v>0.32249999999999995</v>
      </c>
    </row>
    <row r="46" spans="1:11" s="237" customFormat="1" ht="24.95" customHeight="1" x14ac:dyDescent="0.35">
      <c r="A46" s="235"/>
      <c r="B46" s="238"/>
      <c r="C46" s="239"/>
      <c r="D46" s="236"/>
      <c r="E46" s="193"/>
      <c r="F46" s="187">
        <v>0.6</v>
      </c>
      <c r="G46" s="187">
        <v>0.3</v>
      </c>
      <c r="H46" s="188">
        <v>0.5</v>
      </c>
      <c r="I46" s="188">
        <v>2</v>
      </c>
      <c r="J46" s="226" t="s">
        <v>28</v>
      </c>
      <c r="K46" s="253">
        <f t="shared" si="2"/>
        <v>0.18</v>
      </c>
    </row>
    <row r="47" spans="1:11" s="237" customFormat="1" ht="24.95" customHeight="1" x14ac:dyDescent="0.35">
      <c r="A47" s="235"/>
      <c r="B47" s="238"/>
      <c r="C47" s="239"/>
      <c r="D47" s="236"/>
      <c r="E47" s="193"/>
      <c r="F47" s="187">
        <v>0.68</v>
      </c>
      <c r="G47" s="187">
        <v>0.3</v>
      </c>
      <c r="H47" s="188">
        <v>0.5</v>
      </c>
      <c r="I47" s="188">
        <v>1</v>
      </c>
      <c r="J47" s="226" t="s">
        <v>28</v>
      </c>
      <c r="K47" s="253">
        <f t="shared" si="2"/>
        <v>0.10200000000000001</v>
      </c>
    </row>
    <row r="48" spans="1:11" s="237" customFormat="1" ht="24.95" customHeight="1" x14ac:dyDescent="0.35">
      <c r="A48" s="235"/>
      <c r="B48" s="238"/>
      <c r="C48" s="239"/>
      <c r="D48" s="236"/>
      <c r="E48" s="193" t="s">
        <v>224</v>
      </c>
      <c r="F48" s="187">
        <v>23</v>
      </c>
      <c r="G48" s="187">
        <v>0.2</v>
      </c>
      <c r="H48" s="188">
        <v>0.2</v>
      </c>
      <c r="I48" s="188">
        <v>2</v>
      </c>
      <c r="J48" s="226" t="s">
        <v>28</v>
      </c>
      <c r="K48" s="253">
        <f t="shared" si="2"/>
        <v>1.8400000000000003</v>
      </c>
    </row>
    <row r="49" spans="1:14" s="237" customFormat="1" ht="24.95" customHeight="1" x14ac:dyDescent="0.35">
      <c r="A49" s="235"/>
      <c r="B49" s="238"/>
      <c r="C49" s="239"/>
      <c r="D49" s="236"/>
      <c r="E49" s="193"/>
      <c r="F49" s="187">
        <v>9.93</v>
      </c>
      <c r="G49" s="187">
        <v>0.2</v>
      </c>
      <c r="H49" s="188">
        <v>0.2</v>
      </c>
      <c r="I49" s="188">
        <v>1</v>
      </c>
      <c r="J49" s="226" t="s">
        <v>28</v>
      </c>
      <c r="K49" s="253">
        <f t="shared" si="2"/>
        <v>0.3972</v>
      </c>
    </row>
    <row r="50" spans="1:14" s="237" customFormat="1" ht="24.95" customHeight="1" x14ac:dyDescent="0.35">
      <c r="A50" s="235"/>
      <c r="B50" s="238"/>
      <c r="C50" s="239"/>
      <c r="D50" s="236"/>
      <c r="E50" s="193"/>
      <c r="F50" s="187">
        <v>12.3</v>
      </c>
      <c r="G50" s="187">
        <v>0.2</v>
      </c>
      <c r="H50" s="188">
        <v>0.2</v>
      </c>
      <c r="I50" s="188">
        <v>1</v>
      </c>
      <c r="J50" s="226" t="s">
        <v>28</v>
      </c>
      <c r="K50" s="253">
        <f t="shared" si="2"/>
        <v>0.4920000000000001</v>
      </c>
    </row>
    <row r="51" spans="1:14" s="237" customFormat="1" ht="24.95" customHeight="1" x14ac:dyDescent="0.35">
      <c r="A51" s="235"/>
      <c r="B51" s="238"/>
      <c r="C51" s="239"/>
      <c r="D51" s="236"/>
      <c r="E51" s="193"/>
      <c r="F51" s="187">
        <v>25.9</v>
      </c>
      <c r="G51" s="187">
        <v>0.2</v>
      </c>
      <c r="H51" s="188">
        <v>0.2</v>
      </c>
      <c r="I51" s="188">
        <v>1</v>
      </c>
      <c r="J51" s="226" t="s">
        <v>28</v>
      </c>
      <c r="K51" s="253">
        <f>F51*G51*H51*I51</f>
        <v>1.036</v>
      </c>
    </row>
    <row r="52" spans="1:14" s="234" customFormat="1" ht="24.95" customHeight="1" thickBot="1" x14ac:dyDescent="0.4">
      <c r="A52" s="229"/>
      <c r="B52" s="519" t="s">
        <v>189</v>
      </c>
      <c r="C52" s="520"/>
      <c r="D52" s="520"/>
      <c r="E52" s="520"/>
      <c r="F52" s="520"/>
      <c r="G52" s="520"/>
      <c r="H52" s="520"/>
      <c r="I52" s="520"/>
      <c r="J52" s="521"/>
      <c r="K52" s="255">
        <f>SUM(K31:K51)</f>
        <v>61.391450000000006</v>
      </c>
      <c r="L52" s="231"/>
      <c r="M52" s="232"/>
      <c r="N52" s="233"/>
    </row>
    <row r="53" spans="1:14" s="194" customFormat="1" ht="24.95" customHeight="1" x14ac:dyDescent="0.35">
      <c r="A53" s="189"/>
      <c r="B53" s="197">
        <v>2</v>
      </c>
      <c r="C53" s="192" t="str">
        <f>GEDUNG!D34</f>
        <v>Pek. Urugan Tanah Kembali</v>
      </c>
      <c r="D53" s="192"/>
      <c r="E53" s="193"/>
      <c r="F53" s="187"/>
      <c r="G53" s="188"/>
      <c r="H53" s="188"/>
      <c r="I53" s="188"/>
      <c r="J53" s="226"/>
      <c r="K53" s="253"/>
    </row>
    <row r="54" spans="1:14" s="194" customFormat="1" ht="24.95" customHeight="1" x14ac:dyDescent="0.35">
      <c r="A54" s="189"/>
      <c r="B54" s="190"/>
      <c r="C54" s="192"/>
      <c r="D54" s="192"/>
      <c r="E54" s="193"/>
      <c r="F54" s="187">
        <f>K52</f>
        <v>61.391450000000006</v>
      </c>
      <c r="G54" s="188">
        <f>1/3</f>
        <v>0.33333333333333331</v>
      </c>
      <c r="H54" s="188"/>
      <c r="I54" s="188">
        <v>1</v>
      </c>
      <c r="J54" s="226" t="s">
        <v>28</v>
      </c>
      <c r="K54" s="253">
        <f>F54*G54*I54</f>
        <v>20.463816666666666</v>
      </c>
    </row>
    <row r="55" spans="1:14" s="234" customFormat="1" ht="24.95" customHeight="1" thickBot="1" x14ac:dyDescent="0.4">
      <c r="A55" s="229"/>
      <c r="B55" s="519" t="s">
        <v>189</v>
      </c>
      <c r="C55" s="520"/>
      <c r="D55" s="520"/>
      <c r="E55" s="520"/>
      <c r="F55" s="520"/>
      <c r="G55" s="520"/>
      <c r="H55" s="520"/>
      <c r="I55" s="520"/>
      <c r="J55" s="521"/>
      <c r="K55" s="255">
        <f>SUM(K54)</f>
        <v>20.463816666666666</v>
      </c>
      <c r="L55" s="231"/>
      <c r="M55" s="232"/>
      <c r="N55" s="233"/>
    </row>
    <row r="56" spans="1:14" s="194" customFormat="1" ht="24.95" customHeight="1" x14ac:dyDescent="0.35">
      <c r="A56" s="189"/>
      <c r="B56" s="197">
        <v>4</v>
      </c>
      <c r="C56" s="192" t="str">
        <f>GEDUNG!D35</f>
        <v>Pek. Timbunan Tanah Dipadatkan</v>
      </c>
      <c r="D56" s="192"/>
      <c r="E56" s="193"/>
      <c r="F56" s="187"/>
      <c r="G56" s="188"/>
      <c r="H56" s="188"/>
      <c r="I56" s="188"/>
      <c r="J56" s="226"/>
      <c r="K56" s="253"/>
    </row>
    <row r="57" spans="1:14" s="194" customFormat="1" ht="24.95" customHeight="1" x14ac:dyDescent="0.35">
      <c r="A57" s="189"/>
      <c r="B57" s="190"/>
      <c r="C57" s="191"/>
      <c r="D57" s="192"/>
      <c r="E57" s="200" t="s">
        <v>190</v>
      </c>
      <c r="F57" s="187"/>
      <c r="G57" s="188">
        <v>330.27499999999998</v>
      </c>
      <c r="H57" s="188">
        <v>0.83</v>
      </c>
      <c r="I57" s="188">
        <v>1</v>
      </c>
      <c r="J57" s="226" t="s">
        <v>28</v>
      </c>
      <c r="K57" s="253">
        <f>G57*H57*I57</f>
        <v>274.12824999999998</v>
      </c>
    </row>
    <row r="58" spans="1:14" s="194" customFormat="1" ht="24.95" customHeight="1" x14ac:dyDescent="0.35">
      <c r="A58" s="189"/>
      <c r="B58" s="190"/>
      <c r="C58" s="191"/>
      <c r="D58" s="192"/>
      <c r="E58" s="200" t="s">
        <v>222</v>
      </c>
      <c r="F58" s="187"/>
      <c r="G58" s="188">
        <v>69.647400000000005</v>
      </c>
      <c r="H58" s="188">
        <v>0.65</v>
      </c>
      <c r="I58" s="188">
        <v>1</v>
      </c>
      <c r="J58" s="226" t="s">
        <v>28</v>
      </c>
      <c r="K58" s="253">
        <f>G58*H58*I58</f>
        <v>45.270810000000004</v>
      </c>
    </row>
    <row r="59" spans="1:14" s="194" customFormat="1" ht="24.95" customHeight="1" x14ac:dyDescent="0.35">
      <c r="A59" s="189"/>
      <c r="B59" s="190"/>
      <c r="C59" s="191"/>
      <c r="D59" s="192"/>
      <c r="E59" s="200" t="s">
        <v>192</v>
      </c>
      <c r="F59" s="187"/>
      <c r="G59" s="188">
        <v>10.979200000000001</v>
      </c>
      <c r="H59" s="188">
        <v>0.65</v>
      </c>
      <c r="I59" s="188">
        <v>1</v>
      </c>
      <c r="J59" s="226" t="s">
        <v>28</v>
      </c>
      <c r="K59" s="253">
        <f>G59*H59*I59</f>
        <v>7.1364800000000006</v>
      </c>
    </row>
    <row r="60" spans="1:14" s="234" customFormat="1" ht="24.95" customHeight="1" thickBot="1" x14ac:dyDescent="0.4">
      <c r="A60" s="229"/>
      <c r="B60" s="519" t="s">
        <v>189</v>
      </c>
      <c r="C60" s="520"/>
      <c r="D60" s="520"/>
      <c r="E60" s="520"/>
      <c r="F60" s="520"/>
      <c r="G60" s="520"/>
      <c r="H60" s="520"/>
      <c r="I60" s="520"/>
      <c r="J60" s="521"/>
      <c r="K60" s="255">
        <f>SUM(K57:K59)</f>
        <v>326.53553999999997</v>
      </c>
      <c r="L60" s="231"/>
      <c r="M60" s="232"/>
      <c r="N60" s="233"/>
    </row>
    <row r="61" spans="1:14" s="194" customFormat="1" ht="24.95" customHeight="1" x14ac:dyDescent="0.35">
      <c r="A61" s="189"/>
      <c r="B61" s="197">
        <v>5</v>
      </c>
      <c r="C61" s="192" t="str">
        <f>GEDUNG!D36</f>
        <v>Pek. Urugan Pasir Bawah Pondasi dan Lantai t. 5 cm</v>
      </c>
      <c r="D61" s="192"/>
      <c r="E61" s="193"/>
      <c r="F61" s="187"/>
      <c r="G61" s="188"/>
      <c r="H61" s="188"/>
      <c r="I61" s="188"/>
      <c r="J61" s="226"/>
      <c r="K61" s="253"/>
    </row>
    <row r="62" spans="1:14" s="194" customFormat="1" ht="24.95" customHeight="1" x14ac:dyDescent="0.35">
      <c r="A62" s="189"/>
      <c r="B62" s="190"/>
      <c r="C62" s="191"/>
      <c r="D62" s="192"/>
      <c r="E62" s="193" t="s">
        <v>176</v>
      </c>
      <c r="F62" s="187">
        <v>0.9</v>
      </c>
      <c r="G62" s="187">
        <v>0.9</v>
      </c>
      <c r="H62" s="188">
        <v>0.05</v>
      </c>
      <c r="I62" s="188">
        <v>6</v>
      </c>
      <c r="J62" s="226" t="s">
        <v>28</v>
      </c>
      <c r="K62" s="253">
        <f>F62*G62*H62*I62</f>
        <v>0.24300000000000005</v>
      </c>
    </row>
    <row r="63" spans="1:14" s="237" customFormat="1" ht="24.95" customHeight="1" x14ac:dyDescent="0.35">
      <c r="A63" s="235"/>
      <c r="B63" s="238"/>
      <c r="C63" s="239"/>
      <c r="D63" s="236"/>
      <c r="E63" s="193" t="s">
        <v>177</v>
      </c>
      <c r="F63" s="187">
        <v>0.9</v>
      </c>
      <c r="G63" s="187">
        <v>0.9</v>
      </c>
      <c r="H63" s="188">
        <v>0.05</v>
      </c>
      <c r="I63" s="188">
        <v>40</v>
      </c>
      <c r="J63" s="226" t="s">
        <v>28</v>
      </c>
      <c r="K63" s="253">
        <f>F63*G63*H63*I63</f>
        <v>1.6200000000000003</v>
      </c>
    </row>
    <row r="64" spans="1:14" s="237" customFormat="1" ht="24.95" customHeight="1" x14ac:dyDescent="0.35">
      <c r="A64" s="235"/>
      <c r="B64" s="238"/>
      <c r="C64" s="239"/>
      <c r="D64" s="236"/>
      <c r="E64" s="193" t="s">
        <v>201</v>
      </c>
      <c r="F64" s="187">
        <v>1.6</v>
      </c>
      <c r="G64" s="187">
        <v>0.9</v>
      </c>
      <c r="H64" s="188">
        <v>0.05</v>
      </c>
      <c r="I64" s="188">
        <v>3</v>
      </c>
      <c r="J64" s="226" t="s">
        <v>28</v>
      </c>
      <c r="K64" s="253">
        <f>F64*G64*H64*I64</f>
        <v>0.21600000000000003</v>
      </c>
    </row>
    <row r="65" spans="1:11" s="194" customFormat="1" ht="24.95" customHeight="1" x14ac:dyDescent="0.35">
      <c r="A65" s="189"/>
      <c r="B65" s="190"/>
      <c r="C65" s="191"/>
      <c r="D65" s="192"/>
      <c r="E65" s="200" t="s">
        <v>190</v>
      </c>
      <c r="F65" s="187"/>
      <c r="G65" s="188">
        <v>330.27499999999998</v>
      </c>
      <c r="H65" s="188">
        <v>0.05</v>
      </c>
      <c r="I65" s="188">
        <v>1</v>
      </c>
      <c r="J65" s="226" t="s">
        <v>28</v>
      </c>
      <c r="K65" s="253">
        <f>G65*H65*I65</f>
        <v>16.513749999999998</v>
      </c>
    </row>
    <row r="66" spans="1:11" s="194" customFormat="1" ht="24.95" customHeight="1" x14ac:dyDescent="0.35">
      <c r="A66" s="189"/>
      <c r="B66" s="190"/>
      <c r="C66" s="191"/>
      <c r="D66" s="192"/>
      <c r="E66" s="200" t="s">
        <v>222</v>
      </c>
      <c r="F66" s="187"/>
      <c r="G66" s="188">
        <v>69.647400000000005</v>
      </c>
      <c r="H66" s="188">
        <v>0.05</v>
      </c>
      <c r="I66" s="188">
        <v>1</v>
      </c>
      <c r="J66" s="226" t="s">
        <v>28</v>
      </c>
      <c r="K66" s="253">
        <f>G66*H66*I66</f>
        <v>3.4823700000000004</v>
      </c>
    </row>
    <row r="67" spans="1:11" s="194" customFormat="1" ht="24.95" customHeight="1" x14ac:dyDescent="0.35">
      <c r="A67" s="189"/>
      <c r="B67" s="190"/>
      <c r="C67" s="191"/>
      <c r="D67" s="192"/>
      <c r="E67" s="200" t="s">
        <v>192</v>
      </c>
      <c r="F67" s="187"/>
      <c r="G67" s="188">
        <v>10.979200000000001</v>
      </c>
      <c r="H67" s="188">
        <v>0.05</v>
      </c>
      <c r="I67" s="188">
        <v>1</v>
      </c>
      <c r="J67" s="226" t="s">
        <v>28</v>
      </c>
      <c r="K67" s="253">
        <f>G67*H67*I67</f>
        <v>0.54896</v>
      </c>
    </row>
    <row r="68" spans="1:11" s="237" customFormat="1" ht="24.95" customHeight="1" x14ac:dyDescent="0.35">
      <c r="A68" s="235"/>
      <c r="B68" s="238"/>
      <c r="C68" s="239"/>
      <c r="D68" s="236"/>
      <c r="E68" s="193" t="s">
        <v>256</v>
      </c>
      <c r="F68" s="187">
        <v>3.65</v>
      </c>
      <c r="G68" s="187">
        <v>0.3</v>
      </c>
      <c r="H68" s="188">
        <v>0.05</v>
      </c>
      <c r="I68" s="188">
        <v>4</v>
      </c>
      <c r="J68" s="226" t="s">
        <v>28</v>
      </c>
      <c r="K68" s="253">
        <f>F68*G68*H68*I68</f>
        <v>0.219</v>
      </c>
    </row>
    <row r="69" spans="1:11" s="237" customFormat="1" ht="24.95" customHeight="1" x14ac:dyDescent="0.35">
      <c r="A69" s="235"/>
      <c r="B69" s="238"/>
      <c r="C69" s="239"/>
      <c r="D69" s="236"/>
      <c r="E69" s="193"/>
      <c r="F69" s="187">
        <v>3.625</v>
      </c>
      <c r="G69" s="187">
        <v>0.3</v>
      </c>
      <c r="H69" s="188">
        <v>0.05</v>
      </c>
      <c r="I69" s="188">
        <v>4</v>
      </c>
      <c r="J69" s="226" t="s">
        <v>28</v>
      </c>
      <c r="K69" s="253">
        <f t="shared" ref="K69:K87" si="3">F69*G69*H69*I69</f>
        <v>0.2175</v>
      </c>
    </row>
    <row r="70" spans="1:11" s="237" customFormat="1" ht="24.95" customHeight="1" x14ac:dyDescent="0.35">
      <c r="A70" s="235"/>
      <c r="B70" s="238"/>
      <c r="C70" s="239"/>
      <c r="D70" s="236"/>
      <c r="E70" s="193"/>
      <c r="F70" s="187">
        <v>3.4649999999999999</v>
      </c>
      <c r="G70" s="187">
        <v>0.3</v>
      </c>
      <c r="H70" s="188">
        <v>0.05</v>
      </c>
      <c r="I70" s="188">
        <v>1</v>
      </c>
      <c r="J70" s="226" t="s">
        <v>28</v>
      </c>
      <c r="K70" s="253">
        <f t="shared" si="3"/>
        <v>5.1974999999999993E-2</v>
      </c>
    </row>
    <row r="71" spans="1:11" s="237" customFormat="1" ht="24.95" customHeight="1" x14ac:dyDescent="0.35">
      <c r="A71" s="235"/>
      <c r="B71" s="238"/>
      <c r="C71" s="239"/>
      <c r="D71" s="236"/>
      <c r="E71" s="193"/>
      <c r="F71" s="187">
        <v>5.97</v>
      </c>
      <c r="G71" s="187">
        <v>0.3</v>
      </c>
      <c r="H71" s="188">
        <v>0.05</v>
      </c>
      <c r="I71" s="188">
        <v>1</v>
      </c>
      <c r="J71" s="226" t="s">
        <v>28</v>
      </c>
      <c r="K71" s="253">
        <f t="shared" si="3"/>
        <v>8.9550000000000005E-2</v>
      </c>
    </row>
    <row r="72" spans="1:11" s="237" customFormat="1" ht="24.95" customHeight="1" x14ac:dyDescent="0.35">
      <c r="A72" s="235"/>
      <c r="B72" s="238"/>
      <c r="C72" s="239"/>
      <c r="D72" s="236"/>
      <c r="E72" s="193"/>
      <c r="F72" s="187">
        <v>2.65</v>
      </c>
      <c r="G72" s="187">
        <v>0.3</v>
      </c>
      <c r="H72" s="188">
        <v>0.05</v>
      </c>
      <c r="I72" s="188">
        <v>11</v>
      </c>
      <c r="J72" s="226" t="s">
        <v>28</v>
      </c>
      <c r="K72" s="253">
        <f t="shared" si="3"/>
        <v>0.43725000000000003</v>
      </c>
    </row>
    <row r="73" spans="1:11" s="237" customFormat="1" ht="24.95" customHeight="1" x14ac:dyDescent="0.35">
      <c r="A73" s="235"/>
      <c r="B73" s="238"/>
      <c r="C73" s="239"/>
      <c r="D73" s="236"/>
      <c r="E73" s="193"/>
      <c r="F73" s="187">
        <v>2.8</v>
      </c>
      <c r="G73" s="187">
        <v>0.3</v>
      </c>
      <c r="H73" s="188">
        <v>0.05</v>
      </c>
      <c r="I73" s="188">
        <v>1</v>
      </c>
      <c r="J73" s="226" t="s">
        <v>28</v>
      </c>
      <c r="K73" s="253">
        <f t="shared" si="3"/>
        <v>4.2000000000000003E-2</v>
      </c>
    </row>
    <row r="74" spans="1:11" s="237" customFormat="1" ht="24.95" customHeight="1" x14ac:dyDescent="0.35">
      <c r="A74" s="235"/>
      <c r="B74" s="238"/>
      <c r="C74" s="239"/>
      <c r="D74" s="236"/>
      <c r="E74" s="193"/>
      <c r="F74" s="187">
        <v>1.65</v>
      </c>
      <c r="G74" s="187">
        <v>0.3</v>
      </c>
      <c r="H74" s="188">
        <v>0.05</v>
      </c>
      <c r="I74" s="188">
        <v>3</v>
      </c>
      <c r="J74" s="226" t="s">
        <v>28</v>
      </c>
      <c r="K74" s="253">
        <f t="shared" si="3"/>
        <v>7.4249999999999997E-2</v>
      </c>
    </row>
    <row r="75" spans="1:11" s="237" customFormat="1" ht="24.95" customHeight="1" x14ac:dyDescent="0.35">
      <c r="A75" s="235"/>
      <c r="B75" s="238"/>
      <c r="C75" s="239"/>
      <c r="D75" s="236"/>
      <c r="E75" s="193"/>
      <c r="F75" s="187">
        <v>1.87</v>
      </c>
      <c r="G75" s="187">
        <v>0.3</v>
      </c>
      <c r="H75" s="188">
        <v>0.05</v>
      </c>
      <c r="I75" s="188">
        <v>1</v>
      </c>
      <c r="J75" s="226" t="s">
        <v>28</v>
      </c>
      <c r="K75" s="253">
        <f t="shared" si="3"/>
        <v>2.8050000000000005E-2</v>
      </c>
    </row>
    <row r="76" spans="1:11" s="237" customFormat="1" ht="24.95" customHeight="1" x14ac:dyDescent="0.35">
      <c r="A76" s="235"/>
      <c r="B76" s="238"/>
      <c r="C76" s="239"/>
      <c r="D76" s="236"/>
      <c r="E76" s="193"/>
      <c r="F76" s="187">
        <v>1.42</v>
      </c>
      <c r="G76" s="187">
        <v>0.3</v>
      </c>
      <c r="H76" s="188">
        <v>0.05</v>
      </c>
      <c r="I76" s="188">
        <v>1</v>
      </c>
      <c r="J76" s="226" t="s">
        <v>28</v>
      </c>
      <c r="K76" s="253">
        <f t="shared" si="3"/>
        <v>2.1299999999999999E-2</v>
      </c>
    </row>
    <row r="77" spans="1:11" s="237" customFormat="1" ht="24.95" customHeight="1" x14ac:dyDescent="0.35">
      <c r="A77" s="235"/>
      <c r="B77" s="238"/>
      <c r="C77" s="239"/>
      <c r="D77" s="236"/>
      <c r="E77" s="193"/>
      <c r="F77" s="187">
        <v>0.93</v>
      </c>
      <c r="G77" s="187">
        <v>0.3</v>
      </c>
      <c r="H77" s="188">
        <v>0.05</v>
      </c>
      <c r="I77" s="188">
        <v>2</v>
      </c>
      <c r="J77" s="226" t="s">
        <v>28</v>
      </c>
      <c r="K77" s="253">
        <f t="shared" si="3"/>
        <v>2.7900000000000005E-2</v>
      </c>
    </row>
    <row r="78" spans="1:11" s="237" customFormat="1" ht="24.95" customHeight="1" x14ac:dyDescent="0.35">
      <c r="A78" s="235"/>
      <c r="B78" s="238"/>
      <c r="C78" s="239"/>
      <c r="D78" s="236"/>
      <c r="E78" s="193"/>
      <c r="F78" s="187">
        <v>2.2000000000000002</v>
      </c>
      <c r="G78" s="187">
        <v>0.3</v>
      </c>
      <c r="H78" s="188">
        <v>0.05</v>
      </c>
      <c r="I78" s="188">
        <v>1</v>
      </c>
      <c r="J78" s="226" t="s">
        <v>28</v>
      </c>
      <c r="K78" s="253">
        <f t="shared" si="3"/>
        <v>3.3000000000000002E-2</v>
      </c>
    </row>
    <row r="79" spans="1:11" s="237" customFormat="1" ht="24.95" customHeight="1" x14ac:dyDescent="0.35">
      <c r="A79" s="235"/>
      <c r="B79" s="238"/>
      <c r="C79" s="239"/>
      <c r="D79" s="236"/>
      <c r="E79" s="193"/>
      <c r="F79" s="187">
        <v>2.15</v>
      </c>
      <c r="G79" s="187">
        <v>0.3</v>
      </c>
      <c r="H79" s="188">
        <v>0.05</v>
      </c>
      <c r="I79" s="188">
        <v>1</v>
      </c>
      <c r="J79" s="226" t="s">
        <v>28</v>
      </c>
      <c r="K79" s="253">
        <f t="shared" si="3"/>
        <v>3.2249999999999994E-2</v>
      </c>
    </row>
    <row r="80" spans="1:11" s="237" customFormat="1" ht="24.95" customHeight="1" x14ac:dyDescent="0.35">
      <c r="A80" s="235"/>
      <c r="B80" s="238"/>
      <c r="C80" s="239"/>
      <c r="D80" s="236"/>
      <c r="E80" s="193"/>
      <c r="F80" s="187">
        <v>0.6</v>
      </c>
      <c r="G80" s="187">
        <v>0.3</v>
      </c>
      <c r="H80" s="188">
        <v>0.05</v>
      </c>
      <c r="I80" s="188">
        <v>2</v>
      </c>
      <c r="J80" s="226" t="s">
        <v>28</v>
      </c>
      <c r="K80" s="253">
        <f t="shared" si="3"/>
        <v>1.7999999999999999E-2</v>
      </c>
    </row>
    <row r="81" spans="1:14" s="237" customFormat="1" ht="24.95" customHeight="1" x14ac:dyDescent="0.35">
      <c r="A81" s="235"/>
      <c r="B81" s="238"/>
      <c r="C81" s="239"/>
      <c r="D81" s="236"/>
      <c r="E81" s="193"/>
      <c r="F81" s="187">
        <v>0.68</v>
      </c>
      <c r="G81" s="187">
        <v>0.3</v>
      </c>
      <c r="H81" s="188">
        <v>0.05</v>
      </c>
      <c r="I81" s="188">
        <v>1</v>
      </c>
      <c r="J81" s="226" t="s">
        <v>28</v>
      </c>
      <c r="K81" s="253">
        <f t="shared" si="3"/>
        <v>1.0200000000000001E-2</v>
      </c>
    </row>
    <row r="82" spans="1:14" s="237" customFormat="1" ht="24.95" customHeight="1" x14ac:dyDescent="0.35">
      <c r="A82" s="235"/>
      <c r="B82" s="238"/>
      <c r="C82" s="239"/>
      <c r="D82" s="236"/>
      <c r="E82" s="193"/>
      <c r="F82" s="187">
        <v>1.22</v>
      </c>
      <c r="G82" s="187">
        <v>0.2</v>
      </c>
      <c r="H82" s="188">
        <v>0.05</v>
      </c>
      <c r="I82" s="188">
        <v>1</v>
      </c>
      <c r="J82" s="226" t="s">
        <v>28</v>
      </c>
      <c r="K82" s="253">
        <f t="shared" si="3"/>
        <v>1.2200000000000001E-2</v>
      </c>
    </row>
    <row r="83" spans="1:14" s="237" customFormat="1" ht="24.95" customHeight="1" x14ac:dyDescent="0.35">
      <c r="A83" s="235"/>
      <c r="B83" s="238"/>
      <c r="C83" s="239"/>
      <c r="D83" s="236"/>
      <c r="E83" s="193"/>
      <c r="F83" s="187">
        <v>3.66</v>
      </c>
      <c r="G83" s="187">
        <v>0.2</v>
      </c>
      <c r="H83" s="188">
        <v>0.05</v>
      </c>
      <c r="I83" s="188">
        <v>1</v>
      </c>
      <c r="J83" s="226" t="s">
        <v>28</v>
      </c>
      <c r="K83" s="253">
        <f t="shared" si="3"/>
        <v>3.6600000000000008E-2</v>
      </c>
    </row>
    <row r="84" spans="1:14" s="237" customFormat="1" ht="24.95" customHeight="1" x14ac:dyDescent="0.35">
      <c r="A84" s="235"/>
      <c r="B84" s="238"/>
      <c r="C84" s="239"/>
      <c r="D84" s="236"/>
      <c r="E84" s="257" t="s">
        <v>224</v>
      </c>
      <c r="F84" s="187">
        <v>23</v>
      </c>
      <c r="G84" s="187">
        <v>0.2</v>
      </c>
      <c r="H84" s="188">
        <v>0.05</v>
      </c>
      <c r="I84" s="188">
        <v>2</v>
      </c>
      <c r="J84" s="226" t="s">
        <v>28</v>
      </c>
      <c r="K84" s="253">
        <f t="shared" si="3"/>
        <v>0.46000000000000008</v>
      </c>
    </row>
    <row r="85" spans="1:14" s="237" customFormat="1" ht="24.95" customHeight="1" x14ac:dyDescent="0.35">
      <c r="A85" s="235"/>
      <c r="B85" s="238"/>
      <c r="C85" s="239"/>
      <c r="D85" s="236"/>
      <c r="E85" s="193"/>
      <c r="F85" s="187">
        <v>9.93</v>
      </c>
      <c r="G85" s="187">
        <v>0.2</v>
      </c>
      <c r="H85" s="188">
        <v>0.05</v>
      </c>
      <c r="I85" s="188">
        <v>1</v>
      </c>
      <c r="J85" s="226" t="s">
        <v>28</v>
      </c>
      <c r="K85" s="253">
        <f t="shared" si="3"/>
        <v>9.9299999999999999E-2</v>
      </c>
    </row>
    <row r="86" spans="1:14" s="237" customFormat="1" ht="24.95" customHeight="1" x14ac:dyDescent="0.35">
      <c r="A86" s="235"/>
      <c r="B86" s="238"/>
      <c r="C86" s="239"/>
      <c r="D86" s="236"/>
      <c r="E86" s="193"/>
      <c r="F86" s="187">
        <v>12.3</v>
      </c>
      <c r="G86" s="187">
        <v>0.2</v>
      </c>
      <c r="H86" s="188">
        <v>0.05</v>
      </c>
      <c r="I86" s="188">
        <v>1</v>
      </c>
      <c r="J86" s="226" t="s">
        <v>28</v>
      </c>
      <c r="K86" s="253">
        <f t="shared" si="3"/>
        <v>0.12300000000000003</v>
      </c>
    </row>
    <row r="87" spans="1:14" s="237" customFormat="1" ht="24.95" customHeight="1" x14ac:dyDescent="0.35">
      <c r="A87" s="235"/>
      <c r="B87" s="238"/>
      <c r="C87" s="239"/>
      <c r="D87" s="236"/>
      <c r="E87" s="193"/>
      <c r="F87" s="187">
        <v>25.9</v>
      </c>
      <c r="G87" s="187">
        <v>0.2</v>
      </c>
      <c r="H87" s="188">
        <v>0.05</v>
      </c>
      <c r="I87" s="188">
        <v>1</v>
      </c>
      <c r="J87" s="226" t="s">
        <v>28</v>
      </c>
      <c r="K87" s="253">
        <f t="shared" si="3"/>
        <v>0.25900000000000001</v>
      </c>
    </row>
    <row r="88" spans="1:14" s="194" customFormat="1" ht="24.95" customHeight="1" x14ac:dyDescent="0.35">
      <c r="A88" s="212"/>
      <c r="B88" s="199"/>
      <c r="C88" s="202"/>
      <c r="D88" s="198"/>
      <c r="E88" s="214" t="s">
        <v>225</v>
      </c>
      <c r="F88" s="190"/>
      <c r="G88" s="188">
        <f>72.7706+36.5929</f>
        <v>109.3635</v>
      </c>
      <c r="H88" s="188">
        <v>0.05</v>
      </c>
      <c r="I88" s="188">
        <v>1</v>
      </c>
      <c r="J88" s="226" t="s">
        <v>28</v>
      </c>
      <c r="K88" s="253">
        <f>G88*H88*I88</f>
        <v>5.4681750000000005</v>
      </c>
    </row>
    <row r="89" spans="1:14" s="175" customFormat="1" ht="24.95" customHeight="1" thickBot="1" x14ac:dyDescent="0.4">
      <c r="A89" s="211"/>
      <c r="B89" s="516" t="s">
        <v>189</v>
      </c>
      <c r="C89" s="517"/>
      <c r="D89" s="517"/>
      <c r="E89" s="517"/>
      <c r="F89" s="517"/>
      <c r="G89" s="517"/>
      <c r="H89" s="517"/>
      <c r="I89" s="517"/>
      <c r="J89" s="518"/>
      <c r="K89" s="254">
        <f>SUM(K62:K88)</f>
        <v>30.384580000000007</v>
      </c>
      <c r="L89" s="176"/>
      <c r="M89" s="174"/>
      <c r="N89" s="177"/>
    </row>
    <row r="90" spans="1:14" s="194" customFormat="1" ht="24.95" customHeight="1" x14ac:dyDescent="0.35">
      <c r="A90" s="195" t="s">
        <v>59</v>
      </c>
      <c r="B90" s="201" t="str">
        <f>GEDUNG!D39</f>
        <v>PEKERJAAN PONDASI</v>
      </c>
      <c r="C90" s="192"/>
      <c r="D90" s="192"/>
      <c r="E90" s="193"/>
      <c r="F90" s="187"/>
      <c r="G90" s="188"/>
      <c r="H90" s="188"/>
      <c r="I90" s="188"/>
      <c r="J90" s="226"/>
      <c r="K90" s="253"/>
    </row>
    <row r="91" spans="1:14" s="194" customFormat="1" ht="24.95" customHeight="1" x14ac:dyDescent="0.35">
      <c r="A91" s="195"/>
      <c r="B91" s="197">
        <v>1</v>
      </c>
      <c r="C91" s="192" t="e">
        <f>GEDUNG!#REF!</f>
        <v>#REF!</v>
      </c>
      <c r="D91" s="192"/>
      <c r="E91" s="193"/>
      <c r="F91" s="187">
        <v>11</v>
      </c>
      <c r="G91" s="188"/>
      <c r="H91" s="188"/>
      <c r="I91" s="188">
        <v>29</v>
      </c>
      <c r="J91" s="226" t="s">
        <v>19</v>
      </c>
      <c r="K91" s="253">
        <f>+F91*I91</f>
        <v>319</v>
      </c>
    </row>
    <row r="92" spans="1:14" s="175" customFormat="1" ht="24.95" customHeight="1" thickBot="1" x14ac:dyDescent="0.4">
      <c r="A92" s="211"/>
      <c r="B92" s="516" t="s">
        <v>189</v>
      </c>
      <c r="C92" s="517"/>
      <c r="D92" s="517"/>
      <c r="E92" s="517"/>
      <c r="F92" s="517"/>
      <c r="G92" s="517"/>
      <c r="H92" s="517"/>
      <c r="I92" s="517"/>
      <c r="J92" s="518"/>
      <c r="K92" s="254">
        <f>SUM(K91)</f>
        <v>319</v>
      </c>
      <c r="L92" s="176"/>
      <c r="M92" s="174"/>
      <c r="N92" s="177"/>
    </row>
    <row r="93" spans="1:14" s="194" customFormat="1" ht="24.95" customHeight="1" x14ac:dyDescent="0.35">
      <c r="A93" s="195"/>
      <c r="B93" s="197">
        <v>2</v>
      </c>
      <c r="C93" s="192" t="e">
        <f>GEDUNG!#REF!</f>
        <v>#REF!</v>
      </c>
      <c r="D93" s="192"/>
      <c r="E93" s="193"/>
      <c r="F93" s="187"/>
      <c r="G93" s="188"/>
      <c r="H93" s="188"/>
      <c r="I93" s="188"/>
      <c r="J93" s="226"/>
      <c r="K93" s="253"/>
    </row>
    <row r="94" spans="1:14" s="194" customFormat="1" ht="24.95" customHeight="1" x14ac:dyDescent="0.35">
      <c r="A94" s="195"/>
      <c r="B94" s="197"/>
      <c r="C94" s="192"/>
      <c r="D94" s="192"/>
      <c r="E94" s="193" t="s">
        <v>177</v>
      </c>
      <c r="F94" s="187">
        <v>11</v>
      </c>
      <c r="G94" s="188"/>
      <c r="H94" s="188"/>
      <c r="I94" s="188">
        <v>17</v>
      </c>
      <c r="J94" s="226" t="s">
        <v>19</v>
      </c>
      <c r="K94" s="253">
        <f>+F94*I94</f>
        <v>187</v>
      </c>
    </row>
    <row r="95" spans="1:14" s="194" customFormat="1" ht="24.95" customHeight="1" x14ac:dyDescent="0.35">
      <c r="A95" s="195"/>
      <c r="B95" s="197"/>
      <c r="C95" s="192"/>
      <c r="D95" s="192"/>
      <c r="E95" s="193" t="s">
        <v>201</v>
      </c>
      <c r="F95" s="187">
        <v>11</v>
      </c>
      <c r="G95" s="188"/>
      <c r="H95" s="188"/>
      <c r="I95" s="188">
        <v>6</v>
      </c>
      <c r="J95" s="226" t="s">
        <v>19</v>
      </c>
      <c r="K95" s="253">
        <f>+F95*I95</f>
        <v>66</v>
      </c>
    </row>
    <row r="96" spans="1:14" s="175" customFormat="1" ht="24.95" customHeight="1" thickBot="1" x14ac:dyDescent="0.4">
      <c r="A96" s="211"/>
      <c r="B96" s="516" t="s">
        <v>189</v>
      </c>
      <c r="C96" s="517"/>
      <c r="D96" s="517"/>
      <c r="E96" s="517"/>
      <c r="F96" s="517"/>
      <c r="G96" s="517"/>
      <c r="H96" s="517"/>
      <c r="I96" s="517"/>
      <c r="J96" s="518"/>
      <c r="K96" s="254">
        <f>SUM(K94:K95)</f>
        <v>253</v>
      </c>
      <c r="L96" s="176"/>
      <c r="M96" s="174"/>
      <c r="N96" s="177"/>
    </row>
    <row r="97" spans="1:14" s="194" customFormat="1" ht="24.95" customHeight="1" x14ac:dyDescent="0.35">
      <c r="A97" s="195"/>
      <c r="B97" s="197">
        <v>3</v>
      </c>
      <c r="C97" s="192" t="e">
        <f>GEDUNG!#REF!</f>
        <v>#REF!</v>
      </c>
      <c r="D97" s="192"/>
      <c r="E97" s="193"/>
      <c r="F97" s="187">
        <v>11</v>
      </c>
      <c r="G97" s="256">
        <f>(22/7)*(0.2*0.2)</f>
        <v>0.12571428571428572</v>
      </c>
      <c r="H97" s="188"/>
      <c r="I97" s="188">
        <v>29</v>
      </c>
      <c r="J97" s="226" t="s">
        <v>19</v>
      </c>
      <c r="K97" s="253">
        <f>F97*G97*I97</f>
        <v>40.102857142857147</v>
      </c>
    </row>
    <row r="98" spans="1:14" s="175" customFormat="1" ht="24.95" customHeight="1" thickBot="1" x14ac:dyDescent="0.4">
      <c r="A98" s="211"/>
      <c r="B98" s="516" t="s">
        <v>202</v>
      </c>
      <c r="C98" s="517"/>
      <c r="D98" s="517"/>
      <c r="E98" s="517"/>
      <c r="F98" s="517"/>
      <c r="G98" s="517"/>
      <c r="H98" s="517"/>
      <c r="I98" s="517"/>
      <c r="J98" s="518"/>
      <c r="K98" s="254">
        <f>SUM(K97)</f>
        <v>40.102857142857147</v>
      </c>
      <c r="L98" s="176"/>
      <c r="M98" s="174"/>
      <c r="N98" s="177"/>
    </row>
    <row r="99" spans="1:14" s="194" customFormat="1" ht="24.95" customHeight="1" x14ac:dyDescent="0.35">
      <c r="A99" s="195"/>
      <c r="B99" s="197">
        <v>4</v>
      </c>
      <c r="C99" s="192" t="e">
        <f>GEDUNG!#REF!</f>
        <v>#REF!</v>
      </c>
      <c r="D99" s="192"/>
      <c r="E99" s="193"/>
      <c r="F99" s="187"/>
      <c r="G99" s="188"/>
      <c r="H99" s="188"/>
      <c r="I99" s="188"/>
      <c r="J99" s="226"/>
      <c r="K99" s="253"/>
    </row>
    <row r="100" spans="1:14" s="194" customFormat="1" ht="24.95" customHeight="1" x14ac:dyDescent="0.35">
      <c r="A100" s="195"/>
      <c r="B100" s="197"/>
      <c r="C100" s="192"/>
      <c r="D100" s="192"/>
      <c r="E100" s="193" t="s">
        <v>177</v>
      </c>
      <c r="F100" s="187">
        <v>11</v>
      </c>
      <c r="G100" s="256">
        <f>(22/7)*(0.15*0.15)</f>
        <v>7.0714285714285716E-2</v>
      </c>
      <c r="H100" s="188"/>
      <c r="I100" s="188">
        <v>17</v>
      </c>
      <c r="J100" s="226" t="s">
        <v>19</v>
      </c>
      <c r="K100" s="253">
        <f>F100*G100*I100</f>
        <v>13.223571428571429</v>
      </c>
    </row>
    <row r="101" spans="1:14" s="194" customFormat="1" ht="24.95" customHeight="1" x14ac:dyDescent="0.35">
      <c r="A101" s="195"/>
      <c r="B101" s="197"/>
      <c r="C101" s="192"/>
      <c r="D101" s="192"/>
      <c r="E101" s="193" t="s">
        <v>201</v>
      </c>
      <c r="F101" s="187">
        <v>11</v>
      </c>
      <c r="G101" s="256">
        <f>(22/7)*(0.15*0.15)</f>
        <v>7.0714285714285716E-2</v>
      </c>
      <c r="H101" s="188"/>
      <c r="I101" s="188">
        <v>6</v>
      </c>
      <c r="J101" s="226" t="s">
        <v>19</v>
      </c>
      <c r="K101" s="253">
        <f>F101*G101*I101</f>
        <v>4.6671428571428573</v>
      </c>
    </row>
    <row r="102" spans="1:14" s="175" customFormat="1" ht="24.95" customHeight="1" thickBot="1" x14ac:dyDescent="0.4">
      <c r="A102" s="211"/>
      <c r="B102" s="516" t="s">
        <v>189</v>
      </c>
      <c r="C102" s="517"/>
      <c r="D102" s="517"/>
      <c r="E102" s="517"/>
      <c r="F102" s="517"/>
      <c r="G102" s="517"/>
      <c r="H102" s="517"/>
      <c r="I102" s="517"/>
      <c r="J102" s="518"/>
      <c r="K102" s="254">
        <f>SUM(K100:K101)</f>
        <v>17.890714285714285</v>
      </c>
      <c r="L102" s="176"/>
      <c r="M102" s="174"/>
      <c r="N102" s="177"/>
    </row>
    <row r="103" spans="1:14" s="194" customFormat="1" ht="24.95" customHeight="1" x14ac:dyDescent="0.35">
      <c r="A103" s="189"/>
      <c r="B103" s="197">
        <v>5</v>
      </c>
      <c r="C103" s="192" t="str">
        <f>GEDUNG!D40</f>
        <v>Pek. Cor Lantai Kerja Bawah Pondasi dan Lantai  f’c = 7,4 MPa (K100)</v>
      </c>
      <c r="D103" s="192"/>
      <c r="E103" s="193"/>
      <c r="F103" s="187"/>
      <c r="G103" s="188"/>
      <c r="H103" s="188"/>
      <c r="I103" s="188"/>
      <c r="J103" s="226"/>
      <c r="K103" s="253"/>
    </row>
    <row r="104" spans="1:14" s="194" customFormat="1" ht="24.95" customHeight="1" x14ac:dyDescent="0.35">
      <c r="A104" s="189"/>
      <c r="B104" s="190"/>
      <c r="C104" s="191"/>
      <c r="D104" s="192"/>
      <c r="E104" s="193" t="s">
        <v>176</v>
      </c>
      <c r="F104" s="187">
        <v>0.9</v>
      </c>
      <c r="G104" s="187">
        <v>0.9</v>
      </c>
      <c r="H104" s="188">
        <v>0.05</v>
      </c>
      <c r="I104" s="188">
        <v>6</v>
      </c>
      <c r="J104" s="226" t="s">
        <v>28</v>
      </c>
      <c r="K104" s="253">
        <f>F104*G104*H104*I104</f>
        <v>0.24300000000000005</v>
      </c>
    </row>
    <row r="105" spans="1:14" s="237" customFormat="1" ht="24.95" customHeight="1" x14ac:dyDescent="0.35">
      <c r="A105" s="235"/>
      <c r="B105" s="238"/>
      <c r="C105" s="239"/>
      <c r="D105" s="236"/>
      <c r="E105" s="193" t="s">
        <v>177</v>
      </c>
      <c r="F105" s="187">
        <v>0.9</v>
      </c>
      <c r="G105" s="187">
        <v>0.9</v>
      </c>
      <c r="H105" s="188">
        <v>0.05</v>
      </c>
      <c r="I105" s="188">
        <v>40</v>
      </c>
      <c r="J105" s="226" t="s">
        <v>28</v>
      </c>
      <c r="K105" s="253">
        <f>F105*G105*H105*I105</f>
        <v>1.6200000000000003</v>
      </c>
    </row>
    <row r="106" spans="1:14" s="237" customFormat="1" ht="24.95" customHeight="1" x14ac:dyDescent="0.35">
      <c r="A106" s="235"/>
      <c r="B106" s="238"/>
      <c r="C106" s="239"/>
      <c r="D106" s="236"/>
      <c r="E106" s="193" t="s">
        <v>201</v>
      </c>
      <c r="F106" s="187">
        <v>1.6</v>
      </c>
      <c r="G106" s="187">
        <v>0.9</v>
      </c>
      <c r="H106" s="188">
        <v>0.05</v>
      </c>
      <c r="I106" s="188">
        <v>3</v>
      </c>
      <c r="J106" s="226" t="s">
        <v>28</v>
      </c>
      <c r="K106" s="253">
        <f>F106*G106*H106*I106</f>
        <v>0.21600000000000003</v>
      </c>
    </row>
    <row r="107" spans="1:14" s="194" customFormat="1" ht="24.95" customHeight="1" x14ac:dyDescent="0.35">
      <c r="A107" s="189"/>
      <c r="B107" s="190"/>
      <c r="C107" s="191"/>
      <c r="D107" s="192"/>
      <c r="E107" s="200" t="s">
        <v>190</v>
      </c>
      <c r="F107" s="187"/>
      <c r="G107" s="188">
        <v>330.27499999999998</v>
      </c>
      <c r="H107" s="188">
        <v>0.05</v>
      </c>
      <c r="I107" s="188">
        <v>1</v>
      </c>
      <c r="J107" s="226" t="s">
        <v>28</v>
      </c>
      <c r="K107" s="253">
        <f>G107*H107*I107</f>
        <v>16.513749999999998</v>
      </c>
    </row>
    <row r="108" spans="1:14" s="194" customFormat="1" ht="24.95" customHeight="1" x14ac:dyDescent="0.35">
      <c r="A108" s="189"/>
      <c r="B108" s="190"/>
      <c r="C108" s="191"/>
      <c r="D108" s="192"/>
      <c r="E108" s="200" t="s">
        <v>222</v>
      </c>
      <c r="F108" s="187"/>
      <c r="G108" s="188">
        <v>69.647400000000005</v>
      </c>
      <c r="H108" s="188">
        <v>0.05</v>
      </c>
      <c r="I108" s="188">
        <v>1</v>
      </c>
      <c r="J108" s="226" t="s">
        <v>28</v>
      </c>
      <c r="K108" s="253">
        <f>G108*H108*I108</f>
        <v>3.4823700000000004</v>
      </c>
    </row>
    <row r="109" spans="1:14" s="194" customFormat="1" ht="24.95" customHeight="1" x14ac:dyDescent="0.35">
      <c r="A109" s="189"/>
      <c r="B109" s="190"/>
      <c r="C109" s="191"/>
      <c r="D109" s="192"/>
      <c r="E109" s="200" t="s">
        <v>192</v>
      </c>
      <c r="F109" s="187"/>
      <c r="G109" s="188">
        <v>10.979200000000001</v>
      </c>
      <c r="H109" s="188">
        <v>0.05</v>
      </c>
      <c r="I109" s="188">
        <v>1</v>
      </c>
      <c r="J109" s="226" t="s">
        <v>28</v>
      </c>
      <c r="K109" s="253">
        <f>G109*H109*I109</f>
        <v>0.54896</v>
      </c>
    </row>
    <row r="110" spans="1:14" s="237" customFormat="1" ht="24.95" customHeight="1" x14ac:dyDescent="0.35">
      <c r="A110" s="235"/>
      <c r="B110" s="238"/>
      <c r="C110" s="239"/>
      <c r="D110" s="236"/>
      <c r="E110" s="193" t="s">
        <v>257</v>
      </c>
      <c r="F110" s="187">
        <v>3.65</v>
      </c>
      <c r="G110" s="187">
        <v>0.3</v>
      </c>
      <c r="H110" s="188">
        <v>0.05</v>
      </c>
      <c r="I110" s="188">
        <v>4</v>
      </c>
      <c r="J110" s="226" t="s">
        <v>28</v>
      </c>
      <c r="K110" s="253">
        <f>F110*G110*H110*I110</f>
        <v>0.219</v>
      </c>
    </row>
    <row r="111" spans="1:14" s="237" customFormat="1" ht="24.95" customHeight="1" x14ac:dyDescent="0.35">
      <c r="A111" s="235"/>
      <c r="B111" s="238"/>
      <c r="C111" s="239"/>
      <c r="D111" s="236"/>
      <c r="E111" s="193"/>
      <c r="F111" s="187">
        <v>3.625</v>
      </c>
      <c r="G111" s="187">
        <v>0.3</v>
      </c>
      <c r="H111" s="188">
        <v>0.05</v>
      </c>
      <c r="I111" s="188">
        <v>4</v>
      </c>
      <c r="J111" s="226" t="s">
        <v>28</v>
      </c>
      <c r="K111" s="253">
        <f t="shared" ref="K111:K129" si="4">F111*G111*H111*I111</f>
        <v>0.2175</v>
      </c>
    </row>
    <row r="112" spans="1:14" s="237" customFormat="1" ht="24.95" customHeight="1" x14ac:dyDescent="0.35">
      <c r="A112" s="235"/>
      <c r="B112" s="238"/>
      <c r="C112" s="239"/>
      <c r="D112" s="236"/>
      <c r="E112" s="193"/>
      <c r="F112" s="187">
        <v>3.4649999999999999</v>
      </c>
      <c r="G112" s="187">
        <v>0.3</v>
      </c>
      <c r="H112" s="188">
        <v>0.05</v>
      </c>
      <c r="I112" s="188">
        <v>1</v>
      </c>
      <c r="J112" s="226" t="s">
        <v>28</v>
      </c>
      <c r="K112" s="253">
        <f t="shared" si="4"/>
        <v>5.1974999999999993E-2</v>
      </c>
    </row>
    <row r="113" spans="1:11" s="237" customFormat="1" ht="24.95" customHeight="1" x14ac:dyDescent="0.35">
      <c r="A113" s="235"/>
      <c r="B113" s="238"/>
      <c r="C113" s="239"/>
      <c r="D113" s="236"/>
      <c r="E113" s="193"/>
      <c r="F113" s="187">
        <v>5.97</v>
      </c>
      <c r="G113" s="187">
        <v>0.3</v>
      </c>
      <c r="H113" s="188">
        <v>0.05</v>
      </c>
      <c r="I113" s="188">
        <v>1</v>
      </c>
      <c r="J113" s="226" t="s">
        <v>28</v>
      </c>
      <c r="K113" s="253">
        <f t="shared" si="4"/>
        <v>8.9550000000000005E-2</v>
      </c>
    </row>
    <row r="114" spans="1:11" s="237" customFormat="1" ht="24.95" customHeight="1" x14ac:dyDescent="0.35">
      <c r="A114" s="235"/>
      <c r="B114" s="238"/>
      <c r="C114" s="239"/>
      <c r="D114" s="236"/>
      <c r="E114" s="193"/>
      <c r="F114" s="187">
        <v>2.65</v>
      </c>
      <c r="G114" s="187">
        <v>0.3</v>
      </c>
      <c r="H114" s="188">
        <v>0.05</v>
      </c>
      <c r="I114" s="188">
        <v>11</v>
      </c>
      <c r="J114" s="226" t="s">
        <v>28</v>
      </c>
      <c r="K114" s="253">
        <f t="shared" si="4"/>
        <v>0.43725000000000003</v>
      </c>
    </row>
    <row r="115" spans="1:11" s="237" customFormat="1" ht="24.95" customHeight="1" x14ac:dyDescent="0.35">
      <c r="A115" s="235"/>
      <c r="B115" s="238"/>
      <c r="C115" s="239"/>
      <c r="D115" s="236"/>
      <c r="E115" s="193"/>
      <c r="F115" s="187">
        <v>2.8</v>
      </c>
      <c r="G115" s="187">
        <v>0.3</v>
      </c>
      <c r="H115" s="188">
        <v>0.05</v>
      </c>
      <c r="I115" s="188">
        <v>1</v>
      </c>
      <c r="J115" s="226" t="s">
        <v>28</v>
      </c>
      <c r="K115" s="253">
        <f t="shared" si="4"/>
        <v>4.2000000000000003E-2</v>
      </c>
    </row>
    <row r="116" spans="1:11" s="237" customFormat="1" ht="24.95" customHeight="1" x14ac:dyDescent="0.35">
      <c r="A116" s="235"/>
      <c r="B116" s="238"/>
      <c r="C116" s="239"/>
      <c r="D116" s="236"/>
      <c r="E116" s="193"/>
      <c r="F116" s="187">
        <v>1.65</v>
      </c>
      <c r="G116" s="187">
        <v>0.3</v>
      </c>
      <c r="H116" s="188">
        <v>0.05</v>
      </c>
      <c r="I116" s="188">
        <v>3</v>
      </c>
      <c r="J116" s="226" t="s">
        <v>28</v>
      </c>
      <c r="K116" s="253">
        <f t="shared" si="4"/>
        <v>7.4249999999999997E-2</v>
      </c>
    </row>
    <row r="117" spans="1:11" s="237" customFormat="1" ht="24.95" customHeight="1" x14ac:dyDescent="0.35">
      <c r="A117" s="235"/>
      <c r="B117" s="238"/>
      <c r="C117" s="239"/>
      <c r="D117" s="236"/>
      <c r="E117" s="193"/>
      <c r="F117" s="187">
        <v>1.87</v>
      </c>
      <c r="G117" s="187">
        <v>0.3</v>
      </c>
      <c r="H117" s="188">
        <v>0.05</v>
      </c>
      <c r="I117" s="188">
        <v>1</v>
      </c>
      <c r="J117" s="226" t="s">
        <v>28</v>
      </c>
      <c r="K117" s="253">
        <f t="shared" si="4"/>
        <v>2.8050000000000005E-2</v>
      </c>
    </row>
    <row r="118" spans="1:11" s="237" customFormat="1" ht="24.95" customHeight="1" x14ac:dyDescent="0.35">
      <c r="A118" s="235"/>
      <c r="B118" s="238"/>
      <c r="C118" s="239"/>
      <c r="D118" s="236"/>
      <c r="E118" s="193"/>
      <c r="F118" s="187">
        <v>1.42</v>
      </c>
      <c r="G118" s="187">
        <v>0.3</v>
      </c>
      <c r="H118" s="188">
        <v>0.05</v>
      </c>
      <c r="I118" s="188">
        <v>1</v>
      </c>
      <c r="J118" s="226" t="s">
        <v>28</v>
      </c>
      <c r="K118" s="253">
        <f t="shared" si="4"/>
        <v>2.1299999999999999E-2</v>
      </c>
    </row>
    <row r="119" spans="1:11" s="237" customFormat="1" ht="24.95" customHeight="1" x14ac:dyDescent="0.35">
      <c r="A119" s="235"/>
      <c r="B119" s="238"/>
      <c r="C119" s="239"/>
      <c r="D119" s="236"/>
      <c r="E119" s="193"/>
      <c r="F119" s="187">
        <v>0.93</v>
      </c>
      <c r="G119" s="187">
        <v>0.3</v>
      </c>
      <c r="H119" s="188">
        <v>0.05</v>
      </c>
      <c r="I119" s="188">
        <v>2</v>
      </c>
      <c r="J119" s="226" t="s">
        <v>28</v>
      </c>
      <c r="K119" s="253">
        <f t="shared" si="4"/>
        <v>2.7900000000000005E-2</v>
      </c>
    </row>
    <row r="120" spans="1:11" s="237" customFormat="1" ht="24.95" customHeight="1" x14ac:dyDescent="0.35">
      <c r="A120" s="235"/>
      <c r="B120" s="238"/>
      <c r="C120" s="239"/>
      <c r="D120" s="236"/>
      <c r="E120" s="193"/>
      <c r="F120" s="187">
        <v>2.2000000000000002</v>
      </c>
      <c r="G120" s="187">
        <v>0.3</v>
      </c>
      <c r="H120" s="188">
        <v>0.05</v>
      </c>
      <c r="I120" s="188">
        <v>1</v>
      </c>
      <c r="J120" s="226" t="s">
        <v>28</v>
      </c>
      <c r="K120" s="253">
        <f t="shared" si="4"/>
        <v>3.3000000000000002E-2</v>
      </c>
    </row>
    <row r="121" spans="1:11" s="237" customFormat="1" ht="24.95" customHeight="1" x14ac:dyDescent="0.35">
      <c r="A121" s="235"/>
      <c r="B121" s="238"/>
      <c r="C121" s="239"/>
      <c r="D121" s="236"/>
      <c r="E121" s="193"/>
      <c r="F121" s="187">
        <v>2.15</v>
      </c>
      <c r="G121" s="187">
        <v>0.3</v>
      </c>
      <c r="H121" s="188">
        <v>0.05</v>
      </c>
      <c r="I121" s="188">
        <v>1</v>
      </c>
      <c r="J121" s="226" t="s">
        <v>28</v>
      </c>
      <c r="K121" s="253">
        <f t="shared" si="4"/>
        <v>3.2249999999999994E-2</v>
      </c>
    </row>
    <row r="122" spans="1:11" s="237" customFormat="1" ht="24.95" customHeight="1" x14ac:dyDescent="0.35">
      <c r="A122" s="235"/>
      <c r="B122" s="238"/>
      <c r="C122" s="239"/>
      <c r="D122" s="236"/>
      <c r="E122" s="193"/>
      <c r="F122" s="187">
        <v>0.6</v>
      </c>
      <c r="G122" s="187">
        <v>0.3</v>
      </c>
      <c r="H122" s="188">
        <v>0.05</v>
      </c>
      <c r="I122" s="188">
        <v>2</v>
      </c>
      <c r="J122" s="226" t="s">
        <v>28</v>
      </c>
      <c r="K122" s="253">
        <f t="shared" si="4"/>
        <v>1.7999999999999999E-2</v>
      </c>
    </row>
    <row r="123" spans="1:11" s="237" customFormat="1" ht="24.95" customHeight="1" x14ac:dyDescent="0.35">
      <c r="A123" s="235"/>
      <c r="B123" s="238"/>
      <c r="C123" s="239"/>
      <c r="D123" s="236"/>
      <c r="E123" s="193"/>
      <c r="F123" s="187">
        <v>0.68</v>
      </c>
      <c r="G123" s="187">
        <v>0.3</v>
      </c>
      <c r="H123" s="188">
        <v>0.05</v>
      </c>
      <c r="I123" s="188">
        <v>1</v>
      </c>
      <c r="J123" s="226" t="s">
        <v>28</v>
      </c>
      <c r="K123" s="253">
        <f t="shared" si="4"/>
        <v>1.0200000000000001E-2</v>
      </c>
    </row>
    <row r="124" spans="1:11" s="237" customFormat="1" ht="24.95" customHeight="1" x14ac:dyDescent="0.35">
      <c r="A124" s="235"/>
      <c r="B124" s="238"/>
      <c r="C124" s="239"/>
      <c r="D124" s="236"/>
      <c r="E124" s="193"/>
      <c r="F124" s="187">
        <v>1.22</v>
      </c>
      <c r="G124" s="187">
        <v>0.2</v>
      </c>
      <c r="H124" s="188">
        <v>0.05</v>
      </c>
      <c r="I124" s="188">
        <v>1</v>
      </c>
      <c r="J124" s="226" t="s">
        <v>28</v>
      </c>
      <c r="K124" s="253">
        <f t="shared" si="4"/>
        <v>1.2200000000000001E-2</v>
      </c>
    </row>
    <row r="125" spans="1:11" s="237" customFormat="1" ht="24.95" customHeight="1" x14ac:dyDescent="0.35">
      <c r="A125" s="235"/>
      <c r="B125" s="238"/>
      <c r="C125" s="239"/>
      <c r="D125" s="236"/>
      <c r="E125" s="193"/>
      <c r="F125" s="187">
        <v>3.66</v>
      </c>
      <c r="G125" s="187">
        <v>0.2</v>
      </c>
      <c r="H125" s="188">
        <v>0.05</v>
      </c>
      <c r="I125" s="188">
        <v>1</v>
      </c>
      <c r="J125" s="226" t="s">
        <v>28</v>
      </c>
      <c r="K125" s="253">
        <f t="shared" si="4"/>
        <v>3.6600000000000008E-2</v>
      </c>
    </row>
    <row r="126" spans="1:11" s="237" customFormat="1" ht="24.95" customHeight="1" x14ac:dyDescent="0.35">
      <c r="A126" s="235"/>
      <c r="B126" s="238"/>
      <c r="C126" s="239"/>
      <c r="D126" s="236"/>
      <c r="E126" s="257" t="s">
        <v>224</v>
      </c>
      <c r="F126" s="187">
        <v>23</v>
      </c>
      <c r="G126" s="187">
        <v>0.2</v>
      </c>
      <c r="H126" s="188">
        <v>0.05</v>
      </c>
      <c r="I126" s="188">
        <v>2</v>
      </c>
      <c r="J126" s="226" t="s">
        <v>28</v>
      </c>
      <c r="K126" s="253">
        <f t="shared" si="4"/>
        <v>0.46000000000000008</v>
      </c>
    </row>
    <row r="127" spans="1:11" s="237" customFormat="1" ht="24.95" customHeight="1" x14ac:dyDescent="0.35">
      <c r="A127" s="235"/>
      <c r="B127" s="238"/>
      <c r="C127" s="239"/>
      <c r="D127" s="236"/>
      <c r="E127" s="193"/>
      <c r="F127" s="187">
        <v>9.93</v>
      </c>
      <c r="G127" s="187">
        <v>0.2</v>
      </c>
      <c r="H127" s="188">
        <v>0.05</v>
      </c>
      <c r="I127" s="188">
        <v>1</v>
      </c>
      <c r="J127" s="226" t="s">
        <v>28</v>
      </c>
      <c r="K127" s="253">
        <f t="shared" si="4"/>
        <v>9.9299999999999999E-2</v>
      </c>
    </row>
    <row r="128" spans="1:11" s="237" customFormat="1" ht="24.95" customHeight="1" x14ac:dyDescent="0.35">
      <c r="A128" s="235"/>
      <c r="B128" s="238"/>
      <c r="C128" s="239"/>
      <c r="D128" s="236"/>
      <c r="E128" s="193"/>
      <c r="F128" s="187">
        <v>12.3</v>
      </c>
      <c r="G128" s="187">
        <v>0.2</v>
      </c>
      <c r="H128" s="188">
        <v>0.05</v>
      </c>
      <c r="I128" s="188">
        <v>1</v>
      </c>
      <c r="J128" s="226" t="s">
        <v>28</v>
      </c>
      <c r="K128" s="253">
        <f t="shared" si="4"/>
        <v>0.12300000000000003</v>
      </c>
    </row>
    <row r="129" spans="1:14" s="237" customFormat="1" ht="24.95" customHeight="1" x14ac:dyDescent="0.35">
      <c r="A129" s="235"/>
      <c r="B129" s="238"/>
      <c r="C129" s="239"/>
      <c r="D129" s="236"/>
      <c r="E129" s="193"/>
      <c r="F129" s="187">
        <v>25.9</v>
      </c>
      <c r="G129" s="187">
        <v>0.2</v>
      </c>
      <c r="H129" s="188">
        <v>0.05</v>
      </c>
      <c r="I129" s="188">
        <v>1</v>
      </c>
      <c r="J129" s="226" t="s">
        <v>28</v>
      </c>
      <c r="K129" s="253">
        <f t="shared" si="4"/>
        <v>0.25900000000000001</v>
      </c>
    </row>
    <row r="130" spans="1:14" s="194" customFormat="1" ht="24.95" customHeight="1" x14ac:dyDescent="0.35">
      <c r="A130" s="212"/>
      <c r="B130" s="199"/>
      <c r="C130" s="202"/>
      <c r="D130" s="198"/>
      <c r="E130" s="214" t="s">
        <v>225</v>
      </c>
      <c r="F130" s="190"/>
      <c r="G130" s="188">
        <f>72.7706+36.5929</f>
        <v>109.3635</v>
      </c>
      <c r="H130" s="188">
        <v>0.05</v>
      </c>
      <c r="I130" s="188">
        <v>1</v>
      </c>
      <c r="J130" s="226" t="s">
        <v>28</v>
      </c>
      <c r="K130" s="253">
        <f>G130*H130*I130</f>
        <v>5.4681750000000005</v>
      </c>
    </row>
    <row r="131" spans="1:14" s="175" customFormat="1" ht="24.95" customHeight="1" thickBot="1" x14ac:dyDescent="0.4">
      <c r="A131" s="211"/>
      <c r="B131" s="516" t="s">
        <v>189</v>
      </c>
      <c r="C131" s="517"/>
      <c r="D131" s="517"/>
      <c r="E131" s="517"/>
      <c r="F131" s="517"/>
      <c r="G131" s="517"/>
      <c r="H131" s="517"/>
      <c r="I131" s="517"/>
      <c r="J131" s="518"/>
      <c r="K131" s="254">
        <f>SUM(K104:K130)</f>
        <v>30.384580000000007</v>
      </c>
      <c r="L131" s="176"/>
      <c r="M131" s="174"/>
      <c r="N131" s="177"/>
    </row>
    <row r="132" spans="1:14" s="194" customFormat="1" ht="24.95" customHeight="1" x14ac:dyDescent="0.35">
      <c r="A132" s="189"/>
      <c r="B132" s="197">
        <v>6</v>
      </c>
      <c r="C132" s="192" t="e">
        <f>GEDUNG!#REF!</f>
        <v>#REF!</v>
      </c>
      <c r="D132" s="192"/>
      <c r="E132" s="193"/>
      <c r="F132" s="187"/>
      <c r="G132" s="188"/>
      <c r="H132" s="188"/>
      <c r="I132" s="188"/>
      <c r="J132" s="226"/>
      <c r="K132" s="253"/>
    </row>
    <row r="133" spans="1:14" s="194" customFormat="1" ht="24.95" customHeight="1" x14ac:dyDescent="0.35">
      <c r="A133" s="189"/>
      <c r="B133" s="190"/>
      <c r="C133" s="191"/>
      <c r="D133" s="192"/>
      <c r="E133" s="193" t="s">
        <v>176</v>
      </c>
      <c r="F133" s="187">
        <v>0.8</v>
      </c>
      <c r="G133" s="188">
        <v>0.8</v>
      </c>
      <c r="H133" s="188">
        <v>0.4</v>
      </c>
      <c r="I133" s="188">
        <f>I104</f>
        <v>6</v>
      </c>
      <c r="J133" s="226" t="s">
        <v>28</v>
      </c>
      <c r="K133" s="253">
        <f>F133*G133*H133*I133</f>
        <v>1.5360000000000005</v>
      </c>
    </row>
    <row r="134" spans="1:14" s="194" customFormat="1" ht="24.95" customHeight="1" x14ac:dyDescent="0.35">
      <c r="A134" s="189"/>
      <c r="B134" s="190"/>
      <c r="C134" s="191"/>
      <c r="D134" s="192"/>
      <c r="E134" s="193" t="s">
        <v>177</v>
      </c>
      <c r="F134" s="187">
        <v>0.8</v>
      </c>
      <c r="G134" s="188">
        <v>0.8</v>
      </c>
      <c r="H134" s="188">
        <v>0.4</v>
      </c>
      <c r="I134" s="188">
        <f>I105</f>
        <v>40</v>
      </c>
      <c r="J134" s="226" t="s">
        <v>28</v>
      </c>
      <c r="K134" s="253">
        <f>F134*G134*H134*I134</f>
        <v>10.240000000000002</v>
      </c>
    </row>
    <row r="135" spans="1:14" s="175" customFormat="1" ht="24.95" customHeight="1" thickBot="1" x14ac:dyDescent="0.4">
      <c r="A135" s="211"/>
      <c r="B135" s="516" t="s">
        <v>189</v>
      </c>
      <c r="C135" s="517"/>
      <c r="D135" s="517"/>
      <c r="E135" s="517"/>
      <c r="F135" s="517"/>
      <c r="G135" s="517"/>
      <c r="H135" s="517"/>
      <c r="I135" s="517"/>
      <c r="J135" s="518"/>
      <c r="K135" s="254">
        <f>SUM(K133:K134)</f>
        <v>11.776000000000003</v>
      </c>
      <c r="L135" s="176"/>
      <c r="M135" s="174"/>
      <c r="N135" s="177"/>
    </row>
    <row r="136" spans="1:14" s="194" customFormat="1" ht="24.95" customHeight="1" x14ac:dyDescent="0.35">
      <c r="A136" s="189"/>
      <c r="B136" s="197">
        <v>7</v>
      </c>
      <c r="C136" s="192" t="e">
        <f>GEDUNG!#REF!</f>
        <v>#REF!</v>
      </c>
      <c r="D136" s="192"/>
      <c r="E136" s="193"/>
      <c r="F136" s="187"/>
      <c r="G136" s="188"/>
      <c r="H136" s="188"/>
      <c r="I136" s="188"/>
      <c r="J136" s="226"/>
      <c r="K136" s="253"/>
    </row>
    <row r="137" spans="1:14" s="194" customFormat="1" ht="24.95" customHeight="1" x14ac:dyDescent="0.35">
      <c r="A137" s="189"/>
      <c r="B137" s="190"/>
      <c r="C137" s="191"/>
      <c r="D137" s="192"/>
      <c r="E137" s="193" t="s">
        <v>203</v>
      </c>
      <c r="F137" s="187">
        <v>0.8</v>
      </c>
      <c r="G137" s="188">
        <v>1.5</v>
      </c>
      <c r="H137" s="188">
        <v>0.4</v>
      </c>
      <c r="I137" s="188">
        <f>I106</f>
        <v>3</v>
      </c>
      <c r="J137" s="226" t="s">
        <v>28</v>
      </c>
      <c r="K137" s="253">
        <f>F137*G137*H137*I137</f>
        <v>1.4400000000000004</v>
      </c>
    </row>
    <row r="138" spans="1:14" s="175" customFormat="1" ht="24.95" customHeight="1" thickBot="1" x14ac:dyDescent="0.4">
      <c r="A138" s="211"/>
      <c r="B138" s="516" t="s">
        <v>189</v>
      </c>
      <c r="C138" s="517"/>
      <c r="D138" s="517"/>
      <c r="E138" s="517"/>
      <c r="F138" s="517"/>
      <c r="G138" s="517"/>
      <c r="H138" s="517"/>
      <c r="I138" s="517"/>
      <c r="J138" s="518"/>
      <c r="K138" s="254">
        <f>SUM(K137:K137)</f>
        <v>1.4400000000000004</v>
      </c>
      <c r="L138" s="176"/>
      <c r="M138" s="174"/>
      <c r="N138" s="177"/>
    </row>
    <row r="139" spans="1:14" s="194" customFormat="1" ht="24.95" customHeight="1" x14ac:dyDescent="0.35">
      <c r="A139" s="189"/>
      <c r="B139" s="197">
        <v>8</v>
      </c>
      <c r="C139" s="192" t="str">
        <f>GEDUNG!D43</f>
        <v xml:space="preserve">Pek. Kolom Pedestal K1 30x30 cm Beton Bertulang fc 21,7 Mpa </v>
      </c>
      <c r="D139" s="192"/>
      <c r="E139" s="193"/>
      <c r="F139" s="187"/>
      <c r="G139" s="188"/>
      <c r="H139" s="188"/>
      <c r="I139" s="188"/>
      <c r="J139" s="226"/>
      <c r="K139" s="253"/>
    </row>
    <row r="140" spans="1:14" s="194" customFormat="1" ht="24.95" customHeight="1" x14ac:dyDescent="0.35">
      <c r="A140" s="189"/>
      <c r="B140" s="190"/>
      <c r="C140" s="191"/>
      <c r="D140" s="192"/>
      <c r="E140" s="193" t="s">
        <v>204</v>
      </c>
      <c r="F140" s="187">
        <v>0.45</v>
      </c>
      <c r="G140" s="188">
        <v>0.45</v>
      </c>
      <c r="H140" s="188">
        <v>1.45</v>
      </c>
      <c r="I140" s="188">
        <v>6</v>
      </c>
      <c r="J140" s="226" t="s">
        <v>28</v>
      </c>
      <c r="K140" s="253">
        <f>F140*G140*H140*I140</f>
        <v>1.7617500000000001</v>
      </c>
    </row>
    <row r="141" spans="1:14" s="175" customFormat="1" ht="24.95" customHeight="1" thickBot="1" x14ac:dyDescent="0.4">
      <c r="A141" s="211"/>
      <c r="B141" s="516" t="s">
        <v>189</v>
      </c>
      <c r="C141" s="517"/>
      <c r="D141" s="517"/>
      <c r="E141" s="517"/>
      <c r="F141" s="517"/>
      <c r="G141" s="517"/>
      <c r="H141" s="517"/>
      <c r="I141" s="517"/>
      <c r="J141" s="518"/>
      <c r="K141" s="254">
        <f>SUM(K140)</f>
        <v>1.7617500000000001</v>
      </c>
      <c r="L141" s="176"/>
      <c r="M141" s="174"/>
      <c r="N141" s="177"/>
    </row>
    <row r="142" spans="1:14" s="194" customFormat="1" ht="24.95" customHeight="1" x14ac:dyDescent="0.35">
      <c r="A142" s="189"/>
      <c r="B142" s="197">
        <v>9</v>
      </c>
      <c r="C142" s="192" t="str">
        <f>GEDUNG!D44</f>
        <v xml:space="preserve">Pek. Kolom Pedestal K2 25x25 cm Beton Bertulang fc 21,7 Mpa </v>
      </c>
      <c r="D142" s="192"/>
      <c r="E142" s="193"/>
      <c r="F142" s="187"/>
      <c r="G142" s="188"/>
      <c r="H142" s="188"/>
      <c r="I142" s="188"/>
      <c r="J142" s="226"/>
      <c r="K142" s="253"/>
    </row>
    <row r="143" spans="1:14" s="194" customFormat="1" ht="24.95" customHeight="1" x14ac:dyDescent="0.35">
      <c r="A143" s="189"/>
      <c r="B143" s="190"/>
      <c r="C143" s="191"/>
      <c r="D143" s="192"/>
      <c r="E143" s="193" t="s">
        <v>205</v>
      </c>
      <c r="F143" s="187">
        <v>0.4</v>
      </c>
      <c r="G143" s="188">
        <v>0.4</v>
      </c>
      <c r="H143" s="188">
        <v>1.45</v>
      </c>
      <c r="I143" s="253">
        <v>13</v>
      </c>
      <c r="J143" s="226" t="s">
        <v>28</v>
      </c>
      <c r="K143" s="253">
        <f>F143*G143*H143*I143</f>
        <v>3.0160000000000005</v>
      </c>
    </row>
    <row r="144" spans="1:14" s="175" customFormat="1" ht="24.95" customHeight="1" thickBot="1" x14ac:dyDescent="0.4">
      <c r="A144" s="211"/>
      <c r="B144" s="516" t="s">
        <v>189</v>
      </c>
      <c r="C144" s="517"/>
      <c r="D144" s="517"/>
      <c r="E144" s="517"/>
      <c r="F144" s="517"/>
      <c r="G144" s="517"/>
      <c r="H144" s="517"/>
      <c r="I144" s="517"/>
      <c r="J144" s="518"/>
      <c r="K144" s="254">
        <f>SUM(K143)</f>
        <v>3.0160000000000005</v>
      </c>
      <c r="L144" s="176"/>
      <c r="M144" s="174"/>
      <c r="N144" s="177"/>
    </row>
    <row r="145" spans="1:14" s="194" customFormat="1" ht="24.95" customHeight="1" x14ac:dyDescent="0.35">
      <c r="A145" s="189"/>
      <c r="B145" s="197">
        <v>10</v>
      </c>
      <c r="C145" s="192" t="e">
        <f>GEDUNG!#REF!</f>
        <v>#REF!</v>
      </c>
      <c r="D145" s="192"/>
      <c r="E145" s="193"/>
      <c r="F145" s="187"/>
      <c r="G145" s="188"/>
      <c r="H145" s="188"/>
      <c r="I145" s="188"/>
      <c r="J145" s="226"/>
      <c r="K145" s="253"/>
    </row>
    <row r="146" spans="1:14" s="194" customFormat="1" ht="24.95" customHeight="1" x14ac:dyDescent="0.35">
      <c r="A146" s="189"/>
      <c r="B146" s="190"/>
      <c r="C146" s="191"/>
      <c r="D146" s="192"/>
      <c r="E146" s="193" t="s">
        <v>206</v>
      </c>
      <c r="F146" s="187">
        <v>0.35</v>
      </c>
      <c r="G146" s="188">
        <v>0.35</v>
      </c>
      <c r="H146" s="188">
        <v>1.45</v>
      </c>
      <c r="I146" s="253">
        <v>13</v>
      </c>
      <c r="J146" s="226" t="s">
        <v>28</v>
      </c>
      <c r="K146" s="253">
        <f>F146*G146*H146*I146</f>
        <v>2.3091249999999999</v>
      </c>
    </row>
    <row r="147" spans="1:14" s="194" customFormat="1" ht="24.95" customHeight="1" x14ac:dyDescent="0.35">
      <c r="A147" s="212"/>
      <c r="B147" s="199"/>
      <c r="C147" s="202"/>
      <c r="D147" s="198"/>
      <c r="E147" s="193" t="s">
        <v>207</v>
      </c>
      <c r="F147" s="187">
        <v>0.35</v>
      </c>
      <c r="G147" s="188">
        <v>0.35</v>
      </c>
      <c r="H147" s="188">
        <v>1.27</v>
      </c>
      <c r="I147" s="188">
        <v>16</v>
      </c>
      <c r="J147" s="226" t="s">
        <v>28</v>
      </c>
      <c r="K147" s="253">
        <f>F147*G147*H147*I147</f>
        <v>2.4891999999999999</v>
      </c>
    </row>
    <row r="148" spans="1:14" s="175" customFormat="1" ht="24.95" customHeight="1" thickBot="1" x14ac:dyDescent="0.4">
      <c r="A148" s="211"/>
      <c r="B148" s="516" t="s">
        <v>189</v>
      </c>
      <c r="C148" s="517"/>
      <c r="D148" s="517"/>
      <c r="E148" s="517"/>
      <c r="F148" s="517"/>
      <c r="G148" s="517"/>
      <c r="H148" s="517"/>
      <c r="I148" s="517"/>
      <c r="J148" s="518"/>
      <c r="K148" s="254">
        <f>SUM(K146:K147)</f>
        <v>4.7983250000000002</v>
      </c>
      <c r="L148" s="176"/>
      <c r="M148" s="174"/>
      <c r="N148" s="177"/>
    </row>
    <row r="149" spans="1:14" s="194" customFormat="1" ht="24.95" customHeight="1" x14ac:dyDescent="0.35">
      <c r="A149" s="189"/>
      <c r="B149" s="197">
        <v>10</v>
      </c>
      <c r="C149" s="192" t="e">
        <f>GEDUNG!#REF!</f>
        <v>#REF!</v>
      </c>
      <c r="D149" s="192"/>
      <c r="E149" s="193"/>
      <c r="F149" s="187"/>
      <c r="G149" s="188"/>
      <c r="H149" s="188"/>
      <c r="I149" s="188"/>
      <c r="J149" s="226"/>
      <c r="K149" s="253"/>
    </row>
    <row r="150" spans="1:14" s="194" customFormat="1" ht="24.95" customHeight="1" x14ac:dyDescent="0.35">
      <c r="A150" s="189"/>
      <c r="B150" s="190"/>
      <c r="C150" s="191"/>
      <c r="D150" s="192"/>
      <c r="E150" s="193" t="s">
        <v>208</v>
      </c>
      <c r="F150" s="187">
        <v>0.3</v>
      </c>
      <c r="G150" s="188">
        <v>0.3</v>
      </c>
      <c r="H150" s="188">
        <v>1.45</v>
      </c>
      <c r="I150" s="188">
        <v>3</v>
      </c>
      <c r="J150" s="226" t="s">
        <v>28</v>
      </c>
      <c r="K150" s="253">
        <f>F150*G150*H150*I150</f>
        <v>0.39150000000000001</v>
      </c>
    </row>
    <row r="151" spans="1:14" s="194" customFormat="1" ht="24.95" customHeight="1" x14ac:dyDescent="0.35">
      <c r="A151" s="189"/>
      <c r="B151" s="190"/>
      <c r="C151" s="191"/>
      <c r="D151" s="192"/>
      <c r="E151" s="193" t="s">
        <v>208</v>
      </c>
      <c r="F151" s="187">
        <v>0.3</v>
      </c>
      <c r="G151" s="188">
        <v>0.3</v>
      </c>
      <c r="H151" s="188">
        <v>1.27</v>
      </c>
      <c r="I151" s="188">
        <v>1</v>
      </c>
      <c r="J151" s="226" t="s">
        <v>28</v>
      </c>
      <c r="K151" s="253">
        <f>F151*G151*H151*I151</f>
        <v>0.1143</v>
      </c>
    </row>
    <row r="152" spans="1:14" s="175" customFormat="1" ht="24.95" customHeight="1" thickBot="1" x14ac:dyDescent="0.4">
      <c r="A152" s="211"/>
      <c r="B152" s="516" t="s">
        <v>189</v>
      </c>
      <c r="C152" s="517"/>
      <c r="D152" s="517"/>
      <c r="E152" s="517"/>
      <c r="F152" s="517"/>
      <c r="G152" s="517"/>
      <c r="H152" s="517"/>
      <c r="I152" s="517"/>
      <c r="J152" s="518"/>
      <c r="K152" s="254">
        <f>SUM(K150:K151)</f>
        <v>0.50580000000000003</v>
      </c>
      <c r="L152" s="176"/>
      <c r="M152" s="174"/>
      <c r="N152" s="177"/>
    </row>
    <row r="153" spans="1:14" s="194" customFormat="1" ht="24.95" customHeight="1" x14ac:dyDescent="0.35">
      <c r="A153" s="189"/>
      <c r="B153" s="197">
        <v>4</v>
      </c>
      <c r="C153" s="192" t="str">
        <f>GEDUNG!D46</f>
        <v>Pek. Pas. Pondasi Bata ad. 1 : 3</v>
      </c>
      <c r="D153" s="192"/>
      <c r="E153" s="193"/>
      <c r="F153" s="187"/>
      <c r="G153" s="188"/>
      <c r="H153" s="188"/>
      <c r="I153" s="188"/>
      <c r="J153" s="226"/>
      <c r="K153" s="253"/>
    </row>
    <row r="154" spans="1:14" s="237" customFormat="1" ht="24.95" customHeight="1" x14ac:dyDescent="0.35">
      <c r="A154" s="235"/>
      <c r="B154" s="238"/>
      <c r="C154" s="239"/>
      <c r="D154" s="236"/>
      <c r="E154" s="193" t="s">
        <v>258</v>
      </c>
      <c r="F154" s="187">
        <v>3.65</v>
      </c>
      <c r="G154" s="187">
        <v>0.2</v>
      </c>
      <c r="H154" s="188">
        <v>1</v>
      </c>
      <c r="I154" s="188">
        <v>4</v>
      </c>
      <c r="J154" s="226" t="s">
        <v>28</v>
      </c>
      <c r="K154" s="253">
        <f>F154*G154*H154*I154</f>
        <v>2.92</v>
      </c>
    </row>
    <row r="155" spans="1:14" s="237" customFormat="1" ht="24.95" customHeight="1" x14ac:dyDescent="0.35">
      <c r="A155" s="235"/>
      <c r="B155" s="238"/>
      <c r="C155" s="239"/>
      <c r="D155" s="236"/>
      <c r="E155" s="193"/>
      <c r="F155" s="187">
        <v>3.625</v>
      </c>
      <c r="G155" s="187">
        <v>0.2</v>
      </c>
      <c r="H155" s="188">
        <v>1</v>
      </c>
      <c r="I155" s="188">
        <v>4</v>
      </c>
      <c r="J155" s="226" t="s">
        <v>28</v>
      </c>
      <c r="K155" s="253">
        <f t="shared" ref="K155:K168" si="5">F155*G155*H155*I155</f>
        <v>2.9000000000000004</v>
      </c>
    </row>
    <row r="156" spans="1:14" s="237" customFormat="1" ht="24.95" customHeight="1" x14ac:dyDescent="0.35">
      <c r="A156" s="235"/>
      <c r="B156" s="238"/>
      <c r="C156" s="239"/>
      <c r="D156" s="236"/>
      <c r="E156" s="193"/>
      <c r="F156" s="187">
        <v>3.4649999999999999</v>
      </c>
      <c r="G156" s="187">
        <v>0.2</v>
      </c>
      <c r="H156" s="188">
        <v>1</v>
      </c>
      <c r="I156" s="188">
        <v>1</v>
      </c>
      <c r="J156" s="226" t="s">
        <v>28</v>
      </c>
      <c r="K156" s="253">
        <f t="shared" si="5"/>
        <v>0.69300000000000006</v>
      </c>
    </row>
    <row r="157" spans="1:14" s="237" customFormat="1" ht="24.95" customHeight="1" x14ac:dyDescent="0.35">
      <c r="A157" s="235"/>
      <c r="B157" s="238"/>
      <c r="C157" s="239"/>
      <c r="D157" s="236"/>
      <c r="E157" s="193"/>
      <c r="F157" s="187">
        <v>5.97</v>
      </c>
      <c r="G157" s="187">
        <v>0.2</v>
      </c>
      <c r="H157" s="188">
        <v>1</v>
      </c>
      <c r="I157" s="188">
        <v>1</v>
      </c>
      <c r="J157" s="226" t="s">
        <v>28</v>
      </c>
      <c r="K157" s="253">
        <f t="shared" si="5"/>
        <v>1.194</v>
      </c>
    </row>
    <row r="158" spans="1:14" s="237" customFormat="1" ht="24.95" customHeight="1" x14ac:dyDescent="0.35">
      <c r="A158" s="235"/>
      <c r="B158" s="238"/>
      <c r="C158" s="239"/>
      <c r="D158" s="236"/>
      <c r="E158" s="193"/>
      <c r="F158" s="187">
        <v>2.65</v>
      </c>
      <c r="G158" s="187">
        <v>0.2</v>
      </c>
      <c r="H158" s="188">
        <v>1</v>
      </c>
      <c r="I158" s="188">
        <v>11</v>
      </c>
      <c r="J158" s="226" t="s">
        <v>28</v>
      </c>
      <c r="K158" s="253">
        <f t="shared" si="5"/>
        <v>5.83</v>
      </c>
    </row>
    <row r="159" spans="1:14" s="237" customFormat="1" ht="24.95" customHeight="1" x14ac:dyDescent="0.35">
      <c r="A159" s="235"/>
      <c r="B159" s="238"/>
      <c r="C159" s="239"/>
      <c r="D159" s="236"/>
      <c r="E159" s="193"/>
      <c r="F159" s="187">
        <v>2.8</v>
      </c>
      <c r="G159" s="187">
        <v>0.2</v>
      </c>
      <c r="H159" s="188">
        <v>1</v>
      </c>
      <c r="I159" s="188">
        <v>1</v>
      </c>
      <c r="J159" s="226" t="s">
        <v>28</v>
      </c>
      <c r="K159" s="253">
        <f t="shared" si="5"/>
        <v>0.55999999999999994</v>
      </c>
    </row>
    <row r="160" spans="1:14" s="237" customFormat="1" ht="24.95" customHeight="1" x14ac:dyDescent="0.35">
      <c r="A160" s="235"/>
      <c r="B160" s="238"/>
      <c r="C160" s="239"/>
      <c r="D160" s="236"/>
      <c r="E160" s="193"/>
      <c r="F160" s="187">
        <v>1.65</v>
      </c>
      <c r="G160" s="187">
        <v>0.2</v>
      </c>
      <c r="H160" s="188">
        <v>1</v>
      </c>
      <c r="I160" s="188">
        <v>3</v>
      </c>
      <c r="J160" s="226" t="s">
        <v>28</v>
      </c>
      <c r="K160" s="253">
        <f t="shared" si="5"/>
        <v>0.99</v>
      </c>
    </row>
    <row r="161" spans="1:14" s="237" customFormat="1" ht="24.95" customHeight="1" x14ac:dyDescent="0.35">
      <c r="A161" s="235"/>
      <c r="B161" s="238"/>
      <c r="C161" s="239"/>
      <c r="D161" s="236"/>
      <c r="E161" s="193"/>
      <c r="F161" s="187">
        <v>1.87</v>
      </c>
      <c r="G161" s="187">
        <v>0.2</v>
      </c>
      <c r="H161" s="188">
        <v>1</v>
      </c>
      <c r="I161" s="188">
        <v>1</v>
      </c>
      <c r="J161" s="226" t="s">
        <v>28</v>
      </c>
      <c r="K161" s="253">
        <f t="shared" si="5"/>
        <v>0.37400000000000005</v>
      </c>
    </row>
    <row r="162" spans="1:14" s="237" customFormat="1" ht="24.95" customHeight="1" x14ac:dyDescent="0.35">
      <c r="A162" s="235"/>
      <c r="B162" s="238"/>
      <c r="C162" s="239"/>
      <c r="D162" s="236"/>
      <c r="E162" s="193"/>
      <c r="F162" s="187">
        <v>1.42</v>
      </c>
      <c r="G162" s="187">
        <v>0.2</v>
      </c>
      <c r="H162" s="188">
        <v>1</v>
      </c>
      <c r="I162" s="188">
        <v>1</v>
      </c>
      <c r="J162" s="226" t="s">
        <v>28</v>
      </c>
      <c r="K162" s="253">
        <f t="shared" si="5"/>
        <v>0.28399999999999997</v>
      </c>
    </row>
    <row r="163" spans="1:14" s="237" customFormat="1" ht="24.95" customHeight="1" x14ac:dyDescent="0.35">
      <c r="A163" s="235"/>
      <c r="B163" s="238"/>
      <c r="C163" s="239"/>
      <c r="D163" s="236"/>
      <c r="E163" s="193"/>
      <c r="F163" s="187">
        <v>0.93</v>
      </c>
      <c r="G163" s="187">
        <v>0.2</v>
      </c>
      <c r="H163" s="188">
        <v>1</v>
      </c>
      <c r="I163" s="188">
        <v>2</v>
      </c>
      <c r="J163" s="226" t="s">
        <v>28</v>
      </c>
      <c r="K163" s="253">
        <f t="shared" si="5"/>
        <v>0.37200000000000005</v>
      </c>
    </row>
    <row r="164" spans="1:14" s="237" customFormat="1" ht="24.95" customHeight="1" x14ac:dyDescent="0.35">
      <c r="A164" s="235"/>
      <c r="B164" s="238"/>
      <c r="C164" s="239"/>
      <c r="D164" s="236"/>
      <c r="E164" s="193"/>
      <c r="F164" s="187">
        <v>2.2000000000000002</v>
      </c>
      <c r="G164" s="187">
        <v>0.2</v>
      </c>
      <c r="H164" s="188">
        <v>1</v>
      </c>
      <c r="I164" s="188">
        <v>1</v>
      </c>
      <c r="J164" s="226" t="s">
        <v>28</v>
      </c>
      <c r="K164" s="253">
        <f t="shared" si="5"/>
        <v>0.44000000000000006</v>
      </c>
    </row>
    <row r="165" spans="1:14" s="237" customFormat="1" ht="24.95" customHeight="1" x14ac:dyDescent="0.35">
      <c r="A165" s="235"/>
      <c r="B165" s="238"/>
      <c r="C165" s="239"/>
      <c r="D165" s="236"/>
      <c r="E165" s="193"/>
      <c r="F165" s="187">
        <v>2.15</v>
      </c>
      <c r="G165" s="187">
        <v>0.2</v>
      </c>
      <c r="H165" s="188">
        <v>1</v>
      </c>
      <c r="I165" s="188">
        <v>1</v>
      </c>
      <c r="J165" s="226" t="s">
        <v>28</v>
      </c>
      <c r="K165" s="253">
        <f t="shared" si="5"/>
        <v>0.43</v>
      </c>
    </row>
    <row r="166" spans="1:14" s="237" customFormat="1" ht="24.95" customHeight="1" x14ac:dyDescent="0.35">
      <c r="A166" s="235"/>
      <c r="B166" s="238"/>
      <c r="C166" s="239"/>
      <c r="D166" s="236"/>
      <c r="E166" s="193"/>
      <c r="F166" s="187">
        <v>0.6</v>
      </c>
      <c r="G166" s="187">
        <v>0.2</v>
      </c>
      <c r="H166" s="188">
        <v>1</v>
      </c>
      <c r="I166" s="188">
        <v>2</v>
      </c>
      <c r="J166" s="226" t="s">
        <v>28</v>
      </c>
      <c r="K166" s="253">
        <f t="shared" si="5"/>
        <v>0.24</v>
      </c>
    </row>
    <row r="167" spans="1:14" s="237" customFormat="1" ht="24.95" customHeight="1" x14ac:dyDescent="0.35">
      <c r="A167" s="235"/>
      <c r="B167" s="238"/>
      <c r="C167" s="239"/>
      <c r="D167" s="236"/>
      <c r="E167" s="193"/>
      <c r="F167" s="187">
        <v>0.68</v>
      </c>
      <c r="G167" s="187">
        <v>0.2</v>
      </c>
      <c r="H167" s="188">
        <v>1</v>
      </c>
      <c r="I167" s="188">
        <v>1</v>
      </c>
      <c r="J167" s="226" t="s">
        <v>28</v>
      </c>
      <c r="K167" s="253">
        <f t="shared" si="5"/>
        <v>0.13600000000000001</v>
      </c>
    </row>
    <row r="168" spans="1:14" s="237" customFormat="1" ht="24.95" customHeight="1" x14ac:dyDescent="0.35">
      <c r="A168" s="235"/>
      <c r="B168" s="238"/>
      <c r="C168" s="239"/>
      <c r="D168" s="236"/>
      <c r="E168" s="193"/>
      <c r="F168" s="187">
        <v>1.22</v>
      </c>
      <c r="G168" s="187">
        <v>0.2</v>
      </c>
      <c r="H168" s="188">
        <v>0.4</v>
      </c>
      <c r="I168" s="188">
        <v>1</v>
      </c>
      <c r="J168" s="226" t="s">
        <v>28</v>
      </c>
      <c r="K168" s="253">
        <f t="shared" si="5"/>
        <v>9.7600000000000006E-2</v>
      </c>
    </row>
    <row r="169" spans="1:14" s="237" customFormat="1" ht="24.95" customHeight="1" x14ac:dyDescent="0.35">
      <c r="A169" s="235"/>
      <c r="B169" s="238"/>
      <c r="C169" s="239"/>
      <c r="D169" s="236"/>
      <c r="E169" s="193"/>
      <c r="F169" s="187">
        <v>3.66</v>
      </c>
      <c r="G169" s="187">
        <v>0.2</v>
      </c>
      <c r="H169" s="188">
        <v>0.4</v>
      </c>
      <c r="I169" s="188">
        <v>1</v>
      </c>
      <c r="J169" s="226" t="s">
        <v>28</v>
      </c>
      <c r="K169" s="253">
        <f>F169*G169*H169*I169</f>
        <v>0.29280000000000006</v>
      </c>
    </row>
    <row r="170" spans="1:14" s="175" customFormat="1" ht="24.95" customHeight="1" thickBot="1" x14ac:dyDescent="0.4">
      <c r="A170" s="211"/>
      <c r="B170" s="516" t="s">
        <v>189</v>
      </c>
      <c r="C170" s="517"/>
      <c r="D170" s="517"/>
      <c r="E170" s="517"/>
      <c r="F170" s="517"/>
      <c r="G170" s="517"/>
      <c r="H170" s="517"/>
      <c r="I170" s="517"/>
      <c r="J170" s="518"/>
      <c r="K170" s="254">
        <f>SUM(K154:K169)</f>
        <v>17.753399999999999</v>
      </c>
      <c r="L170" s="176"/>
      <c r="M170" s="174"/>
      <c r="N170" s="177"/>
    </row>
    <row r="171" spans="1:14" s="194" customFormat="1" ht="24.95" customHeight="1" x14ac:dyDescent="0.35">
      <c r="A171" s="195" t="s">
        <v>59</v>
      </c>
      <c r="B171" s="201" t="str">
        <f>GEDUNG!D49</f>
        <v xml:space="preserve">PEKERJAAN STRUKTUR </v>
      </c>
      <c r="C171" s="192"/>
      <c r="D171" s="192"/>
      <c r="E171" s="193"/>
      <c r="F171" s="187"/>
      <c r="G171" s="188"/>
      <c r="H171" s="188"/>
      <c r="I171" s="188"/>
      <c r="J171" s="226"/>
      <c r="K171" s="253"/>
    </row>
    <row r="172" spans="1:14" s="194" customFormat="1" ht="24.95" customHeight="1" x14ac:dyDescent="0.35">
      <c r="A172" s="195"/>
      <c r="B172" s="201"/>
      <c r="C172" s="192"/>
      <c r="D172" s="192"/>
      <c r="E172" s="193"/>
      <c r="F172" s="187"/>
      <c r="G172" s="188"/>
      <c r="H172" s="188"/>
      <c r="I172" s="188"/>
      <c r="J172" s="226"/>
      <c r="K172" s="253"/>
    </row>
    <row r="173" spans="1:14" s="194" customFormat="1" ht="24.95" customHeight="1" x14ac:dyDescent="0.35">
      <c r="A173" s="189"/>
      <c r="B173" s="197">
        <v>1</v>
      </c>
      <c r="C173" s="192" t="e">
        <f>GEDUNG!#REF!</f>
        <v>#REF!</v>
      </c>
      <c r="D173" s="192"/>
      <c r="E173" s="193"/>
      <c r="F173" s="187"/>
      <c r="G173" s="188"/>
      <c r="H173" s="188"/>
      <c r="I173" s="188"/>
      <c r="J173" s="226"/>
      <c r="K173" s="253"/>
    </row>
    <row r="174" spans="1:14" s="194" customFormat="1" ht="24.95" customHeight="1" x14ac:dyDescent="0.35">
      <c r="A174" s="189"/>
      <c r="B174" s="190"/>
      <c r="C174" s="191"/>
      <c r="D174" s="192"/>
      <c r="E174" s="193" t="s">
        <v>209</v>
      </c>
      <c r="F174" s="187">
        <v>2.65</v>
      </c>
      <c r="G174" s="188">
        <v>0.25</v>
      </c>
      <c r="H174" s="188">
        <v>0.3</v>
      </c>
      <c r="I174" s="188">
        <v>12</v>
      </c>
      <c r="J174" s="226" t="s">
        <v>28</v>
      </c>
      <c r="K174" s="253">
        <f t="shared" ref="K174:K185" si="6">F174*G174*H174*I174</f>
        <v>2.3849999999999998</v>
      </c>
    </row>
    <row r="175" spans="1:14" s="194" customFormat="1" ht="24.95" customHeight="1" x14ac:dyDescent="0.35">
      <c r="A175" s="189"/>
      <c r="B175" s="190"/>
      <c r="C175" s="191"/>
      <c r="D175" s="192"/>
      <c r="E175" s="193"/>
      <c r="F175" s="187">
        <v>3.65</v>
      </c>
      <c r="G175" s="188">
        <v>0.25</v>
      </c>
      <c r="H175" s="188">
        <v>0.3</v>
      </c>
      <c r="I175" s="188">
        <v>2</v>
      </c>
      <c r="J175" s="226" t="s">
        <v>28</v>
      </c>
      <c r="K175" s="253">
        <f t="shared" si="6"/>
        <v>0.54749999999999999</v>
      </c>
    </row>
    <row r="176" spans="1:14" s="194" customFormat="1" ht="24.95" customHeight="1" x14ac:dyDescent="0.35">
      <c r="A176" s="189"/>
      <c r="B176" s="190"/>
      <c r="C176" s="191"/>
      <c r="D176" s="192"/>
      <c r="E176" s="193" t="s">
        <v>210</v>
      </c>
      <c r="F176" s="187">
        <v>3.7</v>
      </c>
      <c r="G176" s="188">
        <v>0.25</v>
      </c>
      <c r="H176" s="188">
        <v>0.3</v>
      </c>
      <c r="I176" s="188">
        <v>2</v>
      </c>
      <c r="J176" s="226" t="s">
        <v>28</v>
      </c>
      <c r="K176" s="253">
        <f t="shared" si="6"/>
        <v>0.55500000000000005</v>
      </c>
    </row>
    <row r="177" spans="1:14" s="194" customFormat="1" ht="24.95" customHeight="1" x14ac:dyDescent="0.35">
      <c r="A177" s="189"/>
      <c r="B177" s="190"/>
      <c r="C177" s="191"/>
      <c r="D177" s="192"/>
      <c r="E177" s="193"/>
      <c r="F177" s="187">
        <v>3.65</v>
      </c>
      <c r="G177" s="188">
        <v>0.25</v>
      </c>
      <c r="H177" s="188">
        <v>0.3</v>
      </c>
      <c r="I177" s="188">
        <v>7</v>
      </c>
      <c r="J177" s="226" t="s">
        <v>28</v>
      </c>
      <c r="K177" s="253">
        <f t="shared" si="6"/>
        <v>1.91625</v>
      </c>
    </row>
    <row r="178" spans="1:14" s="194" customFormat="1" ht="24.95" customHeight="1" x14ac:dyDescent="0.35">
      <c r="A178" s="189"/>
      <c r="B178" s="190"/>
      <c r="C178" s="191"/>
      <c r="D178" s="192"/>
      <c r="E178" s="193"/>
      <c r="F178" s="187">
        <v>3.625</v>
      </c>
      <c r="G178" s="188">
        <v>0.25</v>
      </c>
      <c r="H178" s="188">
        <v>0.3</v>
      </c>
      <c r="I178" s="188">
        <v>9</v>
      </c>
      <c r="J178" s="226" t="s">
        <v>28</v>
      </c>
      <c r="K178" s="253">
        <f t="shared" si="6"/>
        <v>2.4468749999999999</v>
      </c>
    </row>
    <row r="179" spans="1:14" s="194" customFormat="1" ht="24.95" customHeight="1" x14ac:dyDescent="0.35">
      <c r="A179" s="189"/>
      <c r="B179" s="190"/>
      <c r="C179" s="191"/>
      <c r="D179" s="192"/>
      <c r="E179" s="193"/>
      <c r="F179" s="187">
        <v>3.6</v>
      </c>
      <c r="G179" s="188">
        <v>0.25</v>
      </c>
      <c r="H179" s="188">
        <v>0.3</v>
      </c>
      <c r="I179" s="188">
        <v>2</v>
      </c>
      <c r="J179" s="226" t="s">
        <v>28</v>
      </c>
      <c r="K179" s="253">
        <f t="shared" si="6"/>
        <v>0.54</v>
      </c>
    </row>
    <row r="180" spans="1:14" s="194" customFormat="1" ht="24.95" customHeight="1" x14ac:dyDescent="0.35">
      <c r="A180" s="189"/>
      <c r="B180" s="190"/>
      <c r="C180" s="191"/>
      <c r="D180" s="192"/>
      <c r="E180" s="193"/>
      <c r="F180" s="187">
        <v>3.5750000000000002</v>
      </c>
      <c r="G180" s="188">
        <v>0.25</v>
      </c>
      <c r="H180" s="188">
        <v>0.3</v>
      </c>
      <c r="I180" s="188">
        <v>2</v>
      </c>
      <c r="J180" s="226" t="s">
        <v>28</v>
      </c>
      <c r="K180" s="253">
        <f t="shared" si="6"/>
        <v>0.53625</v>
      </c>
    </row>
    <row r="181" spans="1:14" s="194" customFormat="1" ht="24.95" customHeight="1" x14ac:dyDescent="0.35">
      <c r="A181" s="189"/>
      <c r="B181" s="190"/>
      <c r="C181" s="191"/>
      <c r="D181" s="192"/>
      <c r="E181" s="193"/>
      <c r="F181" s="187">
        <v>2.65</v>
      </c>
      <c r="G181" s="188">
        <v>0.25</v>
      </c>
      <c r="H181" s="188">
        <v>0.3</v>
      </c>
      <c r="I181" s="188">
        <v>4</v>
      </c>
      <c r="J181" s="226" t="s">
        <v>28</v>
      </c>
      <c r="K181" s="253">
        <f t="shared" si="6"/>
        <v>0.79499999999999993</v>
      </c>
    </row>
    <row r="182" spans="1:14" s="194" customFormat="1" ht="24.95" customHeight="1" x14ac:dyDescent="0.35">
      <c r="A182" s="189"/>
      <c r="B182" s="190"/>
      <c r="C182" s="191"/>
      <c r="D182" s="192"/>
      <c r="E182" s="193"/>
      <c r="F182" s="187">
        <v>2.625</v>
      </c>
      <c r="G182" s="188">
        <v>0.25</v>
      </c>
      <c r="H182" s="188">
        <v>0.3</v>
      </c>
      <c r="I182" s="188">
        <v>8</v>
      </c>
      <c r="J182" s="226" t="s">
        <v>28</v>
      </c>
      <c r="K182" s="253">
        <f t="shared" si="6"/>
        <v>1.575</v>
      </c>
    </row>
    <row r="183" spans="1:14" s="194" customFormat="1" ht="24.95" customHeight="1" x14ac:dyDescent="0.35">
      <c r="A183" s="189"/>
      <c r="B183" s="190"/>
      <c r="C183" s="191"/>
      <c r="D183" s="192"/>
      <c r="E183" s="193"/>
      <c r="F183" s="187">
        <v>2.6</v>
      </c>
      <c r="G183" s="188">
        <v>0.25</v>
      </c>
      <c r="H183" s="188">
        <v>0.3</v>
      </c>
      <c r="I183" s="188">
        <v>2</v>
      </c>
      <c r="J183" s="226" t="s">
        <v>28</v>
      </c>
      <c r="K183" s="253">
        <f t="shared" si="6"/>
        <v>0.39</v>
      </c>
    </row>
    <row r="184" spans="1:14" s="194" customFormat="1" ht="24.95" customHeight="1" x14ac:dyDescent="0.35">
      <c r="A184" s="189"/>
      <c r="B184" s="190"/>
      <c r="C184" s="191"/>
      <c r="D184" s="192"/>
      <c r="E184" s="193"/>
      <c r="F184" s="187">
        <v>2.5750000000000002</v>
      </c>
      <c r="G184" s="188">
        <v>0.25</v>
      </c>
      <c r="H184" s="188">
        <v>0.3</v>
      </c>
      <c r="I184" s="188">
        <v>2</v>
      </c>
      <c r="J184" s="226" t="s">
        <v>28</v>
      </c>
      <c r="K184" s="253">
        <f t="shared" si="6"/>
        <v>0.38625000000000004</v>
      </c>
    </row>
    <row r="185" spans="1:14" s="194" customFormat="1" ht="24.95" customHeight="1" x14ac:dyDescent="0.35">
      <c r="A185" s="189"/>
      <c r="B185" s="190"/>
      <c r="C185" s="191"/>
      <c r="D185" s="192"/>
      <c r="E185" s="193"/>
      <c r="F185" s="187">
        <v>2.5499999999999998</v>
      </c>
      <c r="G185" s="188">
        <v>0.25</v>
      </c>
      <c r="H185" s="188">
        <v>0.3</v>
      </c>
      <c r="I185" s="188">
        <v>2</v>
      </c>
      <c r="J185" s="226" t="s">
        <v>28</v>
      </c>
      <c r="K185" s="253">
        <f t="shared" si="6"/>
        <v>0.38249999999999995</v>
      </c>
    </row>
    <row r="186" spans="1:14" s="175" customFormat="1" ht="24.95" customHeight="1" thickBot="1" x14ac:dyDescent="0.4">
      <c r="A186" s="211"/>
      <c r="B186" s="516" t="s">
        <v>189</v>
      </c>
      <c r="C186" s="517"/>
      <c r="D186" s="517"/>
      <c r="E186" s="517"/>
      <c r="F186" s="517"/>
      <c r="G186" s="517"/>
      <c r="H186" s="517"/>
      <c r="I186" s="517"/>
      <c r="J186" s="518"/>
      <c r="K186" s="254">
        <f>SUM(K174:K185)</f>
        <v>12.455625000000001</v>
      </c>
      <c r="L186" s="176"/>
      <c r="M186" s="174"/>
      <c r="N186" s="177"/>
    </row>
    <row r="187" spans="1:14" s="194" customFormat="1" ht="24.95" customHeight="1" x14ac:dyDescent="0.35">
      <c r="A187" s="189"/>
      <c r="B187" s="197">
        <v>2</v>
      </c>
      <c r="C187" s="192" t="str">
        <f>GEDUNG!D51</f>
        <v xml:space="preserve">Pek. Balok Sloof Uk. 25x35 cm Beton Bertulang fc 21,7 Mpa </v>
      </c>
      <c r="D187" s="192"/>
      <c r="E187" s="193"/>
      <c r="F187" s="187"/>
      <c r="G187" s="188"/>
      <c r="H187" s="188"/>
      <c r="I187" s="188"/>
      <c r="J187" s="226"/>
      <c r="K187" s="253"/>
    </row>
    <row r="188" spans="1:14" s="194" customFormat="1" ht="24.95" customHeight="1" x14ac:dyDescent="0.35">
      <c r="A188" s="189"/>
      <c r="B188" s="190"/>
      <c r="C188" s="191"/>
      <c r="D188" s="192"/>
      <c r="E188" s="193"/>
      <c r="F188" s="187">
        <v>3.625</v>
      </c>
      <c r="G188" s="188">
        <v>0.25</v>
      </c>
      <c r="H188" s="188">
        <v>0.35</v>
      </c>
      <c r="I188" s="188">
        <v>1</v>
      </c>
      <c r="J188" s="226" t="s">
        <v>28</v>
      </c>
      <c r="K188" s="253">
        <f>F188*G188*H188*I188</f>
        <v>0.31718749999999996</v>
      </c>
    </row>
    <row r="189" spans="1:14" s="175" customFormat="1" ht="24.95" customHeight="1" thickBot="1" x14ac:dyDescent="0.4">
      <c r="A189" s="211"/>
      <c r="B189" s="516" t="s">
        <v>189</v>
      </c>
      <c r="C189" s="517"/>
      <c r="D189" s="517"/>
      <c r="E189" s="517"/>
      <c r="F189" s="517"/>
      <c r="G189" s="517"/>
      <c r="H189" s="517"/>
      <c r="I189" s="517"/>
      <c r="J189" s="518"/>
      <c r="K189" s="254">
        <f>SUM(K188:K188)</f>
        <v>0.31718749999999996</v>
      </c>
      <c r="L189" s="176"/>
      <c r="M189" s="174"/>
      <c r="N189" s="177"/>
    </row>
    <row r="190" spans="1:14" s="194" customFormat="1" ht="24.95" customHeight="1" x14ac:dyDescent="0.35">
      <c r="A190" s="189"/>
      <c r="B190" s="197">
        <v>3</v>
      </c>
      <c r="C190" s="192" t="e">
        <f>GEDUNG!#REF!</f>
        <v>#REF!</v>
      </c>
      <c r="D190" s="192"/>
      <c r="E190" s="193"/>
      <c r="F190" s="187"/>
      <c r="G190" s="188"/>
      <c r="H190" s="188"/>
      <c r="I190" s="188"/>
      <c r="J190" s="226"/>
      <c r="K190" s="253"/>
    </row>
    <row r="191" spans="1:14" s="194" customFormat="1" ht="24.95" customHeight="1" x14ac:dyDescent="0.35">
      <c r="A191" s="189"/>
      <c r="B191" s="190"/>
      <c r="C191" s="192"/>
      <c r="D191" s="192"/>
      <c r="E191" s="193"/>
      <c r="F191" s="187">
        <v>1.65</v>
      </c>
      <c r="G191" s="188">
        <v>0.2</v>
      </c>
      <c r="H191" s="188">
        <v>0.2</v>
      </c>
      <c r="I191" s="188">
        <v>11</v>
      </c>
      <c r="J191" s="226" t="s">
        <v>28</v>
      </c>
      <c r="K191" s="253">
        <f>F191*G191*H191*I191</f>
        <v>0.72599999999999998</v>
      </c>
    </row>
    <row r="192" spans="1:14" s="194" customFormat="1" ht="24.95" customHeight="1" x14ac:dyDescent="0.35">
      <c r="A192" s="189"/>
      <c r="B192" s="190"/>
      <c r="C192" s="192"/>
      <c r="D192" s="192"/>
      <c r="E192" s="193"/>
      <c r="F192" s="187">
        <v>0.42499999999999999</v>
      </c>
      <c r="G192" s="188">
        <v>0.2</v>
      </c>
      <c r="H192" s="188">
        <v>0.2</v>
      </c>
      <c r="I192" s="188">
        <v>3</v>
      </c>
      <c r="J192" s="226" t="s">
        <v>28</v>
      </c>
      <c r="K192" s="253">
        <f>F192*G192*H192*I192</f>
        <v>5.1000000000000004E-2</v>
      </c>
    </row>
    <row r="193" spans="1:14" s="175" customFormat="1" ht="24.95" customHeight="1" thickBot="1" x14ac:dyDescent="0.4">
      <c r="A193" s="211"/>
      <c r="B193" s="516" t="s">
        <v>189</v>
      </c>
      <c r="C193" s="517"/>
      <c r="D193" s="517"/>
      <c r="E193" s="517"/>
      <c r="F193" s="517"/>
      <c r="G193" s="517"/>
      <c r="H193" s="517"/>
      <c r="I193" s="517"/>
      <c r="J193" s="518"/>
      <c r="K193" s="254">
        <f>SUM(K191:K192)</f>
        <v>0.77700000000000002</v>
      </c>
      <c r="L193" s="174"/>
      <c r="N193" s="177"/>
    </row>
    <row r="194" spans="1:14" s="194" customFormat="1" ht="24.95" customHeight="1" x14ac:dyDescent="0.35">
      <c r="A194" s="189"/>
      <c r="B194" s="197">
        <v>4</v>
      </c>
      <c r="C194" s="192" t="str">
        <f>GEDUNG!D52</f>
        <v xml:space="preserve">Pek. Kolom K1 40x20 cm Beton Bertulang fc 21,7 Mpa </v>
      </c>
      <c r="D194" s="192"/>
      <c r="E194" s="193"/>
      <c r="F194" s="187"/>
      <c r="G194" s="188"/>
      <c r="H194" s="188"/>
      <c r="I194" s="188"/>
      <c r="J194" s="226"/>
      <c r="K194" s="253"/>
    </row>
    <row r="195" spans="1:14" s="194" customFormat="1" ht="24.95" customHeight="1" x14ac:dyDescent="0.35">
      <c r="A195" s="189"/>
      <c r="B195" s="190"/>
      <c r="C195" s="192"/>
      <c r="D195" s="192"/>
      <c r="E195" s="193"/>
      <c r="F195" s="187">
        <v>0.45</v>
      </c>
      <c r="G195" s="188">
        <v>0.45</v>
      </c>
      <c r="H195" s="188">
        <v>4</v>
      </c>
      <c r="I195" s="188">
        <v>6</v>
      </c>
      <c r="J195" s="226" t="s">
        <v>28</v>
      </c>
      <c r="K195" s="253">
        <f>F195*G195*H195*I195</f>
        <v>4.8600000000000003</v>
      </c>
    </row>
    <row r="196" spans="1:14" s="175" customFormat="1" ht="24.95" customHeight="1" thickBot="1" x14ac:dyDescent="0.4">
      <c r="A196" s="211"/>
      <c r="B196" s="516" t="s">
        <v>189</v>
      </c>
      <c r="C196" s="517"/>
      <c r="D196" s="517"/>
      <c r="E196" s="517"/>
      <c r="F196" s="517"/>
      <c r="G196" s="517"/>
      <c r="H196" s="517"/>
      <c r="I196" s="517"/>
      <c r="J196" s="518"/>
      <c r="K196" s="254">
        <f>SUM(K195:K195)</f>
        <v>4.8600000000000003</v>
      </c>
      <c r="L196" s="174"/>
      <c r="N196" s="177"/>
    </row>
    <row r="197" spans="1:14" s="194" customFormat="1" ht="24.95" customHeight="1" x14ac:dyDescent="0.35">
      <c r="A197" s="189"/>
      <c r="B197" s="197">
        <v>5</v>
      </c>
      <c r="C197" s="192" t="str">
        <f>GEDUNG!D53</f>
        <v xml:space="preserve">Pek. Kolom K2 25x25 cm Beton Bertulang fc 21,7 Mpa </v>
      </c>
      <c r="D197" s="192"/>
      <c r="E197" s="193"/>
      <c r="F197" s="187"/>
      <c r="G197" s="188"/>
      <c r="H197" s="188"/>
      <c r="I197" s="188"/>
      <c r="J197" s="226"/>
      <c r="K197" s="253"/>
    </row>
    <row r="198" spans="1:14" s="194" customFormat="1" ht="24.95" customHeight="1" x14ac:dyDescent="0.35">
      <c r="A198" s="189"/>
      <c r="B198" s="190"/>
      <c r="C198" s="192"/>
      <c r="D198" s="192"/>
      <c r="E198" s="193"/>
      <c r="F198" s="187">
        <v>0.4</v>
      </c>
      <c r="G198" s="188">
        <v>0.4</v>
      </c>
      <c r="H198" s="188">
        <v>4</v>
      </c>
      <c r="I198" s="188">
        <v>13</v>
      </c>
      <c r="J198" s="226" t="s">
        <v>28</v>
      </c>
      <c r="K198" s="253">
        <f>F198*G198*H198*I198</f>
        <v>8.3200000000000021</v>
      </c>
    </row>
    <row r="199" spans="1:14" s="175" customFormat="1" ht="24.95" customHeight="1" thickBot="1" x14ac:dyDescent="0.4">
      <c r="A199" s="211"/>
      <c r="B199" s="516" t="s">
        <v>189</v>
      </c>
      <c r="C199" s="517"/>
      <c r="D199" s="517"/>
      <c r="E199" s="517"/>
      <c r="F199" s="517"/>
      <c r="G199" s="517"/>
      <c r="H199" s="517"/>
      <c r="I199" s="517"/>
      <c r="J199" s="518"/>
      <c r="K199" s="254">
        <f>SUM(K198:K198)</f>
        <v>8.3200000000000021</v>
      </c>
      <c r="L199" s="174"/>
      <c r="N199" s="177"/>
    </row>
    <row r="200" spans="1:14" s="194" customFormat="1" ht="24.95" customHeight="1" x14ac:dyDescent="0.35">
      <c r="A200" s="189"/>
      <c r="B200" s="197">
        <v>6</v>
      </c>
      <c r="C200" s="192" t="str">
        <f>GEDUNG!D54</f>
        <v>Pek. Kolom K3 20x30 cm Beton Bertulang fc 21,7 Mpa</v>
      </c>
      <c r="D200" s="192"/>
      <c r="E200" s="193"/>
      <c r="F200" s="187"/>
      <c r="G200" s="188"/>
      <c r="H200" s="188"/>
      <c r="I200" s="188"/>
      <c r="J200" s="226"/>
      <c r="K200" s="253"/>
    </row>
    <row r="201" spans="1:14" s="194" customFormat="1" ht="24.95" customHeight="1" x14ac:dyDescent="0.35">
      <c r="A201" s="189"/>
      <c r="B201" s="190"/>
      <c r="C201" s="192"/>
      <c r="D201" s="192"/>
      <c r="E201" s="193"/>
      <c r="F201" s="187">
        <v>0.35</v>
      </c>
      <c r="G201" s="188">
        <v>0.35</v>
      </c>
      <c r="H201" s="188">
        <v>4</v>
      </c>
      <c r="I201" s="188">
        <v>13</v>
      </c>
      <c r="J201" s="226" t="s">
        <v>28</v>
      </c>
      <c r="K201" s="253">
        <f>F201*G201*H201*I201</f>
        <v>6.3699999999999992</v>
      </c>
    </row>
    <row r="202" spans="1:14" s="194" customFormat="1" ht="24.95" customHeight="1" x14ac:dyDescent="0.35">
      <c r="A202" s="189"/>
      <c r="B202" s="190"/>
      <c r="C202" s="192"/>
      <c r="D202" s="192"/>
      <c r="E202" s="193"/>
      <c r="F202" s="187">
        <v>0.35</v>
      </c>
      <c r="G202" s="188">
        <v>0.35</v>
      </c>
      <c r="H202" s="188">
        <v>4.18</v>
      </c>
      <c r="I202" s="188">
        <v>16</v>
      </c>
      <c r="J202" s="226" t="s">
        <v>28</v>
      </c>
      <c r="K202" s="253">
        <f>F202*G202*H202*I202</f>
        <v>8.1927999999999983</v>
      </c>
    </row>
    <row r="203" spans="1:14" s="175" customFormat="1" ht="24.95" customHeight="1" thickBot="1" x14ac:dyDescent="0.4">
      <c r="A203" s="211"/>
      <c r="B203" s="516" t="s">
        <v>189</v>
      </c>
      <c r="C203" s="517"/>
      <c r="D203" s="517"/>
      <c r="E203" s="517"/>
      <c r="F203" s="517"/>
      <c r="G203" s="517"/>
      <c r="H203" s="517"/>
      <c r="I203" s="517"/>
      <c r="J203" s="518"/>
      <c r="K203" s="254">
        <f>SUM(K201:K202)</f>
        <v>14.562799999999998</v>
      </c>
      <c r="L203" s="174"/>
      <c r="N203" s="177"/>
    </row>
    <row r="204" spans="1:14" s="194" customFormat="1" ht="24.95" customHeight="1" x14ac:dyDescent="0.35">
      <c r="A204" s="189"/>
      <c r="B204" s="197">
        <v>7</v>
      </c>
      <c r="C204" s="192" t="e">
        <f>GEDUNG!#REF!</f>
        <v>#REF!</v>
      </c>
      <c r="D204" s="192"/>
      <c r="E204" s="193"/>
      <c r="F204" s="187"/>
      <c r="G204" s="188"/>
      <c r="H204" s="188"/>
      <c r="I204" s="188"/>
      <c r="J204" s="226"/>
      <c r="K204" s="253"/>
    </row>
    <row r="205" spans="1:14" s="194" customFormat="1" ht="24.95" customHeight="1" x14ac:dyDescent="0.35">
      <c r="A205" s="189"/>
      <c r="B205" s="190"/>
      <c r="C205" s="192"/>
      <c r="D205" s="192"/>
      <c r="E205" s="193"/>
      <c r="F205" s="187">
        <v>0.3</v>
      </c>
      <c r="G205" s="188">
        <v>0.3</v>
      </c>
      <c r="H205" s="188">
        <v>4</v>
      </c>
      <c r="I205" s="188">
        <v>3</v>
      </c>
      <c r="J205" s="226" t="s">
        <v>28</v>
      </c>
      <c r="K205" s="253">
        <f>F205*G205*H205*I205</f>
        <v>1.08</v>
      </c>
    </row>
    <row r="206" spans="1:14" s="194" customFormat="1" ht="24.95" customHeight="1" x14ac:dyDescent="0.35">
      <c r="A206" s="189"/>
      <c r="B206" s="190"/>
      <c r="C206" s="192"/>
      <c r="D206" s="192"/>
      <c r="E206" s="193"/>
      <c r="F206" s="187">
        <v>0.3</v>
      </c>
      <c r="G206" s="188">
        <v>0.3</v>
      </c>
      <c r="H206" s="188">
        <v>1.1499999999999999</v>
      </c>
      <c r="I206" s="188">
        <v>1</v>
      </c>
      <c r="J206" s="226" t="s">
        <v>28</v>
      </c>
      <c r="K206" s="253">
        <f>F206*G206*H206*I206</f>
        <v>0.10349999999999999</v>
      </c>
    </row>
    <row r="207" spans="1:14" s="175" customFormat="1" ht="24.95" customHeight="1" thickBot="1" x14ac:dyDescent="0.4">
      <c r="A207" s="211"/>
      <c r="B207" s="516" t="s">
        <v>189</v>
      </c>
      <c r="C207" s="517"/>
      <c r="D207" s="517"/>
      <c r="E207" s="517"/>
      <c r="F207" s="517"/>
      <c r="G207" s="517"/>
      <c r="H207" s="517"/>
      <c r="I207" s="517"/>
      <c r="J207" s="518"/>
      <c r="K207" s="254">
        <f>SUM(K205:K206)</f>
        <v>1.1835</v>
      </c>
      <c r="L207" s="174"/>
      <c r="N207" s="177"/>
    </row>
    <row r="208" spans="1:14" s="194" customFormat="1" ht="24.95" customHeight="1" x14ac:dyDescent="0.35">
      <c r="A208" s="189"/>
      <c r="B208" s="197">
        <v>8</v>
      </c>
      <c r="C208" s="192" t="str">
        <f>GEDUNG!D58</f>
        <v xml:space="preserve">Pek. Plat Lantai T. 12 cm Beton Bertulang fc 21,7 Mpa </v>
      </c>
      <c r="D208" s="192"/>
      <c r="E208" s="193"/>
      <c r="F208" s="187"/>
      <c r="G208" s="188"/>
      <c r="H208" s="188"/>
      <c r="I208" s="188"/>
      <c r="J208" s="226"/>
      <c r="K208" s="253"/>
    </row>
    <row r="209" spans="1:14" s="194" customFormat="1" ht="24.95" customHeight="1" x14ac:dyDescent="0.35">
      <c r="A209" s="189"/>
      <c r="B209" s="190"/>
      <c r="C209" s="192"/>
      <c r="D209" s="192"/>
      <c r="E209" s="193" t="s">
        <v>218</v>
      </c>
      <c r="F209" s="187"/>
      <c r="G209" s="188">
        <v>75.203999999999994</v>
      </c>
      <c r="H209" s="188">
        <v>0.12</v>
      </c>
      <c r="I209" s="188">
        <v>1</v>
      </c>
      <c r="J209" s="226" t="s">
        <v>28</v>
      </c>
      <c r="K209" s="253">
        <f>G209*H209*I209</f>
        <v>9.0244799999999987</v>
      </c>
    </row>
    <row r="210" spans="1:14" s="194" customFormat="1" ht="24.95" customHeight="1" x14ac:dyDescent="0.35">
      <c r="A210" s="189"/>
      <c r="B210" s="190"/>
      <c r="C210" s="192"/>
      <c r="D210" s="192"/>
      <c r="E210" s="193" t="s">
        <v>216</v>
      </c>
      <c r="F210" s="187"/>
      <c r="G210" s="188">
        <v>324.83350000000002</v>
      </c>
      <c r="H210" s="188">
        <v>0.12</v>
      </c>
      <c r="I210" s="188">
        <v>1</v>
      </c>
      <c r="J210" s="226" t="s">
        <v>28</v>
      </c>
      <c r="K210" s="253">
        <f>G210*H210*I210</f>
        <v>38.980020000000003</v>
      </c>
    </row>
    <row r="211" spans="1:14" s="194" customFormat="1" ht="24.95" customHeight="1" x14ac:dyDescent="0.35">
      <c r="A211" s="189"/>
      <c r="B211" s="190"/>
      <c r="C211" s="192"/>
      <c r="D211" s="192"/>
      <c r="E211" s="193" t="s">
        <v>217</v>
      </c>
      <c r="F211" s="187"/>
      <c r="G211" s="188">
        <v>10.39</v>
      </c>
      <c r="H211" s="188">
        <v>0.12</v>
      </c>
      <c r="I211" s="188">
        <v>1</v>
      </c>
      <c r="J211" s="226" t="s">
        <v>28</v>
      </c>
      <c r="K211" s="253">
        <f>G211*H211*I211</f>
        <v>1.2468000000000001</v>
      </c>
    </row>
    <row r="212" spans="1:14" s="175" customFormat="1" ht="24.95" customHeight="1" thickBot="1" x14ac:dyDescent="0.4">
      <c r="A212" s="211"/>
      <c r="B212" s="516" t="s">
        <v>189</v>
      </c>
      <c r="C212" s="517"/>
      <c r="D212" s="517"/>
      <c r="E212" s="517"/>
      <c r="F212" s="517"/>
      <c r="G212" s="517"/>
      <c r="H212" s="517"/>
      <c r="I212" s="517"/>
      <c r="J212" s="518"/>
      <c r="K212" s="254">
        <f>SUM(K209:K211)</f>
        <v>49.251300000000001</v>
      </c>
      <c r="L212" s="174"/>
      <c r="N212" s="177"/>
    </row>
    <row r="213" spans="1:14" s="194" customFormat="1" ht="24.95" customHeight="1" x14ac:dyDescent="0.35">
      <c r="A213" s="189"/>
      <c r="B213" s="197">
        <v>9</v>
      </c>
      <c r="C213" s="192" t="str">
        <f>GEDUNG!D55</f>
        <v>Pek. Plat Tangga T. 15 cm Beton Bertulang fc 21,7 Mpa</v>
      </c>
      <c r="D213" s="192"/>
      <c r="E213" s="193"/>
      <c r="F213" s="187"/>
      <c r="G213" s="188"/>
      <c r="H213" s="188"/>
      <c r="I213" s="188"/>
      <c r="J213" s="226"/>
      <c r="K213" s="253"/>
    </row>
    <row r="214" spans="1:14" s="194" customFormat="1" ht="24.95" customHeight="1" x14ac:dyDescent="0.35">
      <c r="A214" s="189"/>
      <c r="B214" s="190"/>
      <c r="C214" s="192"/>
      <c r="D214" s="192"/>
      <c r="E214" s="193"/>
      <c r="F214" s="187"/>
      <c r="G214" s="188">
        <v>0.63849999999999996</v>
      </c>
      <c r="H214" s="188">
        <v>1.88</v>
      </c>
      <c r="I214" s="188">
        <v>1</v>
      </c>
      <c r="J214" s="226" t="s">
        <v>28</v>
      </c>
      <c r="K214" s="253">
        <f>G214*H214*I214</f>
        <v>1.2003799999999998</v>
      </c>
    </row>
    <row r="215" spans="1:14" s="194" customFormat="1" ht="24.95" customHeight="1" x14ac:dyDescent="0.35">
      <c r="A215" s="189"/>
      <c r="B215" s="190"/>
      <c r="C215" s="192"/>
      <c r="D215" s="192"/>
      <c r="E215" s="193"/>
      <c r="F215" s="187"/>
      <c r="G215" s="188">
        <v>0.73560000000000003</v>
      </c>
      <c r="H215" s="188">
        <v>1.75</v>
      </c>
      <c r="I215" s="188">
        <v>1</v>
      </c>
      <c r="J215" s="226" t="s">
        <v>28</v>
      </c>
      <c r="K215" s="253">
        <f>G215*H215*I215</f>
        <v>1.2873000000000001</v>
      </c>
    </row>
    <row r="216" spans="1:14" s="175" customFormat="1" ht="24.95" customHeight="1" thickBot="1" x14ac:dyDescent="0.4">
      <c r="A216" s="211"/>
      <c r="B216" s="516" t="s">
        <v>189</v>
      </c>
      <c r="C216" s="517"/>
      <c r="D216" s="517"/>
      <c r="E216" s="517"/>
      <c r="F216" s="517"/>
      <c r="G216" s="517"/>
      <c r="H216" s="517"/>
      <c r="I216" s="517"/>
      <c r="J216" s="518"/>
      <c r="K216" s="254">
        <f>SUM(K214:K215)</f>
        <v>2.4876800000000001</v>
      </c>
      <c r="L216" s="174"/>
      <c r="N216" s="177"/>
    </row>
    <row r="217" spans="1:14" s="194" customFormat="1" ht="24.95" customHeight="1" x14ac:dyDescent="0.35">
      <c r="A217" s="189"/>
      <c r="B217" s="197">
        <v>9</v>
      </c>
      <c r="C217" s="192" t="str">
        <f>GEDUNG!D56</f>
        <v>Pek. Plat Bordes T. 15 cm Beton Bertulang fc 21,7 Mpa</v>
      </c>
      <c r="D217" s="192"/>
      <c r="E217" s="193"/>
      <c r="F217" s="187"/>
      <c r="G217" s="188"/>
      <c r="H217" s="188"/>
      <c r="I217" s="188"/>
      <c r="J217" s="226"/>
      <c r="K217" s="253"/>
    </row>
    <row r="218" spans="1:14" s="194" customFormat="1" ht="24.95" customHeight="1" x14ac:dyDescent="0.35">
      <c r="A218" s="189"/>
      <c r="B218" s="190"/>
      <c r="C218" s="192"/>
      <c r="D218" s="192"/>
      <c r="E218" s="193"/>
      <c r="F218" s="187"/>
      <c r="G218" s="188">
        <v>4.6119000000000003</v>
      </c>
      <c r="H218" s="188">
        <v>0.15</v>
      </c>
      <c r="I218" s="188">
        <v>1</v>
      </c>
      <c r="J218" s="226" t="s">
        <v>28</v>
      </c>
      <c r="K218" s="253">
        <f>G218*H218*I218</f>
        <v>0.69178499999999998</v>
      </c>
    </row>
    <row r="219" spans="1:14" s="175" customFormat="1" ht="24.95" customHeight="1" thickBot="1" x14ac:dyDescent="0.4">
      <c r="A219" s="211"/>
      <c r="B219" s="516" t="s">
        <v>189</v>
      </c>
      <c r="C219" s="517"/>
      <c r="D219" s="517"/>
      <c r="E219" s="517"/>
      <c r="F219" s="517"/>
      <c r="G219" s="517"/>
      <c r="H219" s="517"/>
      <c r="I219" s="517"/>
      <c r="J219" s="518"/>
      <c r="K219" s="254">
        <f>SUM(K218:K218)</f>
        <v>0.69178499999999998</v>
      </c>
      <c r="L219" s="174"/>
      <c r="N219" s="177"/>
    </row>
    <row r="220" spans="1:14" s="194" customFormat="1" ht="24.95" customHeight="1" x14ac:dyDescent="0.35">
      <c r="A220" s="189"/>
      <c r="B220" s="197">
        <v>10</v>
      </c>
      <c r="C220" s="192" t="str">
        <f>GEDUNG!D57</f>
        <v>Pek. Balok Bordes Tangga Uk. 25x35 cm Beton Bertulang fc 21,7 Mpa</v>
      </c>
      <c r="D220" s="192"/>
      <c r="E220" s="193"/>
      <c r="F220" s="187"/>
      <c r="G220" s="188"/>
      <c r="H220" s="188"/>
      <c r="I220" s="188"/>
      <c r="J220" s="226"/>
      <c r="K220" s="253"/>
    </row>
    <row r="221" spans="1:14" s="194" customFormat="1" ht="24.95" customHeight="1" x14ac:dyDescent="0.35">
      <c r="A221" s="189"/>
      <c r="B221" s="190"/>
      <c r="C221" s="192"/>
      <c r="D221" s="192"/>
      <c r="E221" s="193"/>
      <c r="F221" s="187">
        <v>3.65</v>
      </c>
      <c r="G221" s="188">
        <v>0.25</v>
      </c>
      <c r="H221" s="188">
        <v>0.35</v>
      </c>
      <c r="I221" s="188">
        <v>1</v>
      </c>
      <c r="J221" s="226" t="s">
        <v>28</v>
      </c>
      <c r="K221" s="253">
        <f>F221*G221*H221*I221</f>
        <v>0.31937499999999996</v>
      </c>
    </row>
    <row r="222" spans="1:14" s="175" customFormat="1" ht="24.95" customHeight="1" thickBot="1" x14ac:dyDescent="0.4">
      <c r="A222" s="211"/>
      <c r="B222" s="516" t="s">
        <v>189</v>
      </c>
      <c r="C222" s="517"/>
      <c r="D222" s="517"/>
      <c r="E222" s="517"/>
      <c r="F222" s="517"/>
      <c r="G222" s="517"/>
      <c r="H222" s="517"/>
      <c r="I222" s="517"/>
      <c r="J222" s="518"/>
      <c r="K222" s="254">
        <f>SUM(K221:K221)</f>
        <v>0.31937499999999996</v>
      </c>
      <c r="L222" s="174"/>
      <c r="N222" s="177"/>
    </row>
    <row r="223" spans="1:14" s="194" customFormat="1" ht="24.95" customHeight="1" x14ac:dyDescent="0.35">
      <c r="A223" s="189"/>
      <c r="B223" s="197">
        <v>11</v>
      </c>
      <c r="C223" s="192" t="str">
        <f>GEDUNG!D59</f>
        <v xml:space="preserve">Pek. Kolom Praktis (K.2) Uk. 11x11 </v>
      </c>
      <c r="D223" s="192"/>
      <c r="E223" s="193"/>
      <c r="F223" s="187"/>
      <c r="G223" s="188"/>
      <c r="H223" s="188"/>
      <c r="I223" s="188"/>
      <c r="J223" s="226"/>
      <c r="K223" s="253"/>
    </row>
    <row r="224" spans="1:14" s="194" customFormat="1" ht="24.95" customHeight="1" x14ac:dyDescent="0.35">
      <c r="A224" s="189"/>
      <c r="B224" s="190"/>
      <c r="C224" s="192"/>
      <c r="D224" s="192"/>
      <c r="E224" s="193"/>
      <c r="F224" s="187"/>
      <c r="G224" s="188"/>
      <c r="H224" s="188">
        <v>3.88</v>
      </c>
      <c r="I224" s="188">
        <v>7</v>
      </c>
      <c r="J224" s="226" t="s">
        <v>19</v>
      </c>
      <c r="K224" s="253">
        <f t="shared" ref="K224:K230" si="7">H224*I224</f>
        <v>27.16</v>
      </c>
    </row>
    <row r="225" spans="1:14" s="194" customFormat="1" ht="24.95" customHeight="1" x14ac:dyDescent="0.35">
      <c r="A225" s="189"/>
      <c r="B225" s="190"/>
      <c r="C225" s="192"/>
      <c r="D225" s="192"/>
      <c r="E225" s="193"/>
      <c r="F225" s="187"/>
      <c r="G225" s="188"/>
      <c r="H225" s="188">
        <v>3.7</v>
      </c>
      <c r="I225" s="188">
        <v>3</v>
      </c>
      <c r="J225" s="226" t="s">
        <v>19</v>
      </c>
      <c r="K225" s="253">
        <f t="shared" si="7"/>
        <v>11.100000000000001</v>
      </c>
    </row>
    <row r="226" spans="1:14" s="194" customFormat="1" ht="24.95" customHeight="1" x14ac:dyDescent="0.35">
      <c r="A226" s="189"/>
      <c r="B226" s="190"/>
      <c r="C226" s="192"/>
      <c r="D226" s="192"/>
      <c r="E226" s="193"/>
      <c r="F226" s="187"/>
      <c r="G226" s="188"/>
      <c r="H226" s="188">
        <v>4.0599999999999996</v>
      </c>
      <c r="I226" s="188">
        <v>4</v>
      </c>
      <c r="J226" s="226" t="s">
        <v>19</v>
      </c>
      <c r="K226" s="253">
        <f t="shared" si="7"/>
        <v>16.239999999999998</v>
      </c>
    </row>
    <row r="227" spans="1:14" s="194" customFormat="1" ht="24.95" customHeight="1" x14ac:dyDescent="0.35">
      <c r="A227" s="189"/>
      <c r="B227" s="190"/>
      <c r="C227" s="192"/>
      <c r="D227" s="192"/>
      <c r="E227" s="193"/>
      <c r="F227" s="187"/>
      <c r="G227" s="188"/>
      <c r="H227" s="188">
        <v>3.83</v>
      </c>
      <c r="I227" s="188">
        <v>4</v>
      </c>
      <c r="J227" s="226" t="s">
        <v>19</v>
      </c>
      <c r="K227" s="253">
        <f t="shared" si="7"/>
        <v>15.32</v>
      </c>
    </row>
    <row r="228" spans="1:14" s="194" customFormat="1" ht="24.95" customHeight="1" x14ac:dyDescent="0.35">
      <c r="A228" s="189"/>
      <c r="B228" s="190"/>
      <c r="C228" s="192"/>
      <c r="D228" s="192"/>
      <c r="E228" s="193" t="s">
        <v>211</v>
      </c>
      <c r="F228" s="187"/>
      <c r="G228" s="188"/>
      <c r="H228" s="188">
        <v>1.7</v>
      </c>
      <c r="I228" s="188">
        <v>2</v>
      </c>
      <c r="J228" s="226" t="s">
        <v>19</v>
      </c>
      <c r="K228" s="253">
        <f t="shared" si="7"/>
        <v>3.4</v>
      </c>
    </row>
    <row r="229" spans="1:14" s="194" customFormat="1" ht="24.95" customHeight="1" x14ac:dyDescent="0.35">
      <c r="A229" s="189"/>
      <c r="B229" s="190"/>
      <c r="C229" s="192"/>
      <c r="D229" s="192"/>
      <c r="E229" s="193" t="s">
        <v>195</v>
      </c>
      <c r="F229" s="187"/>
      <c r="G229" s="188"/>
      <c r="H229" s="188">
        <v>1.2</v>
      </c>
      <c r="I229" s="188">
        <v>7</v>
      </c>
      <c r="J229" s="226" t="s">
        <v>19</v>
      </c>
      <c r="K229" s="253">
        <f t="shared" si="7"/>
        <v>8.4</v>
      </c>
    </row>
    <row r="230" spans="1:14" s="194" customFormat="1" ht="24.95" customHeight="1" x14ac:dyDescent="0.35">
      <c r="A230" s="189"/>
      <c r="B230" s="190"/>
      <c r="C230" s="192"/>
      <c r="D230" s="192"/>
      <c r="E230" s="193" t="s">
        <v>212</v>
      </c>
      <c r="F230" s="187"/>
      <c r="G230" s="188"/>
      <c r="H230" s="188">
        <v>0.8</v>
      </c>
      <c r="I230" s="188">
        <v>4</v>
      </c>
      <c r="J230" s="226" t="s">
        <v>19</v>
      </c>
      <c r="K230" s="253">
        <f t="shared" si="7"/>
        <v>3.2</v>
      </c>
    </row>
    <row r="231" spans="1:14" s="234" customFormat="1" ht="24.95" customHeight="1" thickBot="1" x14ac:dyDescent="0.4">
      <c r="A231" s="229"/>
      <c r="B231" s="519" t="s">
        <v>189</v>
      </c>
      <c r="C231" s="520"/>
      <c r="D231" s="520"/>
      <c r="E231" s="520"/>
      <c r="F231" s="520"/>
      <c r="G231" s="520"/>
      <c r="H231" s="520"/>
      <c r="I231" s="520"/>
      <c r="J231" s="521"/>
      <c r="K231" s="255">
        <f>SUM(K224:K230)</f>
        <v>84.820000000000007</v>
      </c>
      <c r="L231" s="231"/>
      <c r="M231" s="232"/>
      <c r="N231" s="233"/>
    </row>
    <row r="232" spans="1:14" s="194" customFormat="1" ht="24.95" customHeight="1" x14ac:dyDescent="0.35">
      <c r="A232" s="189"/>
      <c r="B232" s="197">
        <v>12</v>
      </c>
      <c r="C232" s="192" t="str">
        <f>GEDUNG!D63</f>
        <v>Pek. Balok Pinggang Uk. 10x15 cm Beton fc. 14,5 Mpa</v>
      </c>
      <c r="D232" s="192"/>
      <c r="E232" s="193"/>
      <c r="F232" s="187"/>
      <c r="G232" s="188"/>
      <c r="H232" s="188"/>
      <c r="I232" s="188"/>
      <c r="J232" s="226"/>
      <c r="K232" s="188"/>
    </row>
    <row r="233" spans="1:14" s="194" customFormat="1" ht="24.95" customHeight="1" x14ac:dyDescent="0.35">
      <c r="A233" s="189"/>
      <c r="B233" s="190"/>
      <c r="C233" s="192"/>
      <c r="D233" s="192"/>
      <c r="E233" s="193"/>
      <c r="F233" s="187">
        <v>3.65</v>
      </c>
      <c r="G233" s="188">
        <v>0.1</v>
      </c>
      <c r="H233" s="188">
        <v>0.15</v>
      </c>
      <c r="I233" s="188">
        <v>7</v>
      </c>
      <c r="J233" s="226" t="s">
        <v>28</v>
      </c>
      <c r="K233" s="188">
        <f t="shared" ref="K233:K239" si="8">F233*G233*H233*I233</f>
        <v>0.38324999999999998</v>
      </c>
    </row>
    <row r="234" spans="1:14" s="194" customFormat="1" ht="24.95" customHeight="1" x14ac:dyDescent="0.35">
      <c r="A234" s="189"/>
      <c r="B234" s="190"/>
      <c r="C234" s="192"/>
      <c r="D234" s="192"/>
      <c r="E234" s="193"/>
      <c r="F234" s="187">
        <v>3.63</v>
      </c>
      <c r="G234" s="188">
        <v>0.1</v>
      </c>
      <c r="H234" s="188">
        <v>0.15</v>
      </c>
      <c r="I234" s="188">
        <v>10</v>
      </c>
      <c r="J234" s="226" t="s">
        <v>28</v>
      </c>
      <c r="K234" s="188">
        <f t="shared" si="8"/>
        <v>0.54449999999999998</v>
      </c>
    </row>
    <row r="235" spans="1:14" s="194" customFormat="1" ht="24.95" customHeight="1" x14ac:dyDescent="0.35">
      <c r="A235" s="189"/>
      <c r="B235" s="190"/>
      <c r="C235" s="192"/>
      <c r="D235" s="192"/>
      <c r="E235" s="193"/>
      <c r="F235" s="187">
        <v>2.63</v>
      </c>
      <c r="G235" s="188">
        <v>0.1</v>
      </c>
      <c r="H235" s="188">
        <v>0.15</v>
      </c>
      <c r="I235" s="188">
        <v>6</v>
      </c>
      <c r="J235" s="226" t="s">
        <v>28</v>
      </c>
      <c r="K235" s="188">
        <f t="shared" si="8"/>
        <v>0.23669999999999999</v>
      </c>
    </row>
    <row r="236" spans="1:14" s="194" customFormat="1" ht="24.95" customHeight="1" x14ac:dyDescent="0.35">
      <c r="A236" s="189"/>
      <c r="B236" s="190"/>
      <c r="C236" s="192"/>
      <c r="D236" s="192"/>
      <c r="E236" s="193"/>
      <c r="F236" s="187">
        <v>2.6</v>
      </c>
      <c r="G236" s="188">
        <v>0.1</v>
      </c>
      <c r="H236" s="188">
        <v>0.15</v>
      </c>
      <c r="I236" s="188">
        <v>4</v>
      </c>
      <c r="J236" s="226" t="s">
        <v>28</v>
      </c>
      <c r="K236" s="188">
        <f t="shared" si="8"/>
        <v>0.156</v>
      </c>
    </row>
    <row r="237" spans="1:14" s="194" customFormat="1" ht="24.95" customHeight="1" x14ac:dyDescent="0.35">
      <c r="A237" s="189"/>
      <c r="B237" s="190"/>
      <c r="C237" s="192"/>
      <c r="D237" s="192"/>
      <c r="E237" s="193"/>
      <c r="F237" s="187">
        <v>1.65</v>
      </c>
      <c r="G237" s="188">
        <v>0.1</v>
      </c>
      <c r="H237" s="188">
        <v>0.15</v>
      </c>
      <c r="I237" s="188">
        <v>1</v>
      </c>
      <c r="J237" s="226" t="s">
        <v>28</v>
      </c>
      <c r="K237" s="188">
        <f t="shared" si="8"/>
        <v>2.4750000000000001E-2</v>
      </c>
    </row>
    <row r="238" spans="1:14" s="194" customFormat="1" ht="24.95" customHeight="1" x14ac:dyDescent="0.35">
      <c r="A238" s="189"/>
      <c r="B238" s="190"/>
      <c r="C238" s="192"/>
      <c r="D238" s="192"/>
      <c r="E238" s="193"/>
      <c r="F238" s="187">
        <v>0.87</v>
      </c>
      <c r="G238" s="188">
        <v>0.1</v>
      </c>
      <c r="H238" s="188">
        <v>0.15</v>
      </c>
      <c r="I238" s="188">
        <v>4</v>
      </c>
      <c r="J238" s="226" t="s">
        <v>28</v>
      </c>
      <c r="K238" s="188">
        <f t="shared" si="8"/>
        <v>5.2200000000000003E-2</v>
      </c>
    </row>
    <row r="239" spans="1:14" s="194" customFormat="1" ht="24.95" customHeight="1" x14ac:dyDescent="0.35">
      <c r="A239" s="189"/>
      <c r="B239" s="190"/>
      <c r="C239" s="192"/>
      <c r="D239" s="192"/>
      <c r="E239" s="193"/>
      <c r="F239" s="187">
        <v>1.63</v>
      </c>
      <c r="G239" s="188">
        <v>0.1</v>
      </c>
      <c r="H239" s="188">
        <v>0.15</v>
      </c>
      <c r="I239" s="188">
        <v>2</v>
      </c>
      <c r="J239" s="226" t="s">
        <v>28</v>
      </c>
      <c r="K239" s="188">
        <f t="shared" si="8"/>
        <v>4.8899999999999999E-2</v>
      </c>
    </row>
    <row r="240" spans="1:14" s="234" customFormat="1" ht="24.95" customHeight="1" thickBot="1" x14ac:dyDescent="0.4">
      <c r="A240" s="229"/>
      <c r="B240" s="519" t="s">
        <v>189</v>
      </c>
      <c r="C240" s="520"/>
      <c r="D240" s="520"/>
      <c r="E240" s="520"/>
      <c r="F240" s="520"/>
      <c r="G240" s="520"/>
      <c r="H240" s="520"/>
      <c r="I240" s="520"/>
      <c r="J240" s="521"/>
      <c r="K240" s="230">
        <f>SUM(K233:K239)</f>
        <v>1.4462999999999999</v>
      </c>
      <c r="L240" s="231"/>
      <c r="M240" s="232"/>
      <c r="N240" s="233"/>
    </row>
    <row r="241" spans="1:14" s="194" customFormat="1" ht="24.95" customHeight="1" x14ac:dyDescent="0.35">
      <c r="A241" s="189"/>
      <c r="B241" s="197">
        <v>13</v>
      </c>
      <c r="C241" s="192" t="e">
        <f>GEDUNG!#REF!</f>
        <v>#REF!</v>
      </c>
      <c r="D241" s="192"/>
      <c r="E241" s="193"/>
      <c r="F241" s="187"/>
      <c r="G241" s="188"/>
      <c r="H241" s="188"/>
      <c r="I241" s="188"/>
      <c r="J241" s="226"/>
      <c r="K241" s="188"/>
    </row>
    <row r="242" spans="1:14" s="194" customFormat="1" ht="24.95" customHeight="1" x14ac:dyDescent="0.35">
      <c r="A242" s="189"/>
      <c r="B242" s="190"/>
      <c r="C242" s="192"/>
      <c r="D242" s="192"/>
      <c r="E242" s="193"/>
      <c r="F242" s="187">
        <v>3.6</v>
      </c>
      <c r="G242" s="188">
        <v>0.1</v>
      </c>
      <c r="H242" s="188">
        <v>0.2</v>
      </c>
      <c r="I242" s="188">
        <v>2</v>
      </c>
      <c r="J242" s="226" t="s">
        <v>28</v>
      </c>
      <c r="K242" s="188">
        <f>F242*G242*H242*I242</f>
        <v>0.14400000000000002</v>
      </c>
    </row>
    <row r="243" spans="1:14" s="194" customFormat="1" ht="24.95" customHeight="1" x14ac:dyDescent="0.35">
      <c r="A243" s="189"/>
      <c r="B243" s="190"/>
      <c r="C243" s="192"/>
      <c r="D243" s="192"/>
      <c r="E243" s="193"/>
      <c r="F243" s="187">
        <v>3.58</v>
      </c>
      <c r="G243" s="188">
        <v>0.1</v>
      </c>
      <c r="H243" s="188">
        <v>0.2</v>
      </c>
      <c r="I243" s="188">
        <v>2</v>
      </c>
      <c r="J243" s="226" t="s">
        <v>28</v>
      </c>
      <c r="K243" s="188">
        <f>F243*G243*H243*I243</f>
        <v>0.14320000000000002</v>
      </c>
    </row>
    <row r="244" spans="1:14" s="234" customFormat="1" ht="24.95" customHeight="1" thickBot="1" x14ac:dyDescent="0.4">
      <c r="A244" s="229"/>
      <c r="B244" s="519" t="s">
        <v>189</v>
      </c>
      <c r="C244" s="520"/>
      <c r="D244" s="520"/>
      <c r="E244" s="520"/>
      <c r="F244" s="520"/>
      <c r="G244" s="520"/>
      <c r="H244" s="520"/>
      <c r="I244" s="520"/>
      <c r="J244" s="521"/>
      <c r="K244" s="230">
        <f>SUM(K242:K243)</f>
        <v>0.28720000000000001</v>
      </c>
      <c r="L244" s="231"/>
      <c r="M244" s="232"/>
      <c r="N244" s="233"/>
    </row>
    <row r="245" spans="1:14" s="194" customFormat="1" ht="24.95" customHeight="1" x14ac:dyDescent="0.35">
      <c r="A245" s="195"/>
      <c r="B245" s="201" t="str">
        <f>GEDUNG!D80</f>
        <v xml:space="preserve"> LANTAI II</v>
      </c>
      <c r="C245" s="192"/>
      <c r="D245" s="192"/>
      <c r="E245" s="193"/>
      <c r="F245" s="187"/>
      <c r="G245" s="188"/>
      <c r="H245" s="188"/>
      <c r="I245" s="188"/>
      <c r="J245" s="226"/>
      <c r="K245" s="253"/>
    </row>
    <row r="246" spans="1:14" s="194" customFormat="1" ht="24.95" customHeight="1" x14ac:dyDescent="0.35">
      <c r="A246" s="189"/>
      <c r="B246" s="197">
        <v>1</v>
      </c>
      <c r="C246" s="192" t="str">
        <f>GEDUNG!D84</f>
        <v xml:space="preserve">Pek. Balok B1 Uk. 25x45 cm Beton Bertulang fc 21,7 Mpa </v>
      </c>
      <c r="D246" s="192"/>
      <c r="E246" s="193"/>
      <c r="F246" s="187"/>
      <c r="G246" s="188"/>
      <c r="H246" s="188"/>
      <c r="I246" s="188"/>
      <c r="J246" s="226"/>
      <c r="K246" s="253"/>
    </row>
    <row r="247" spans="1:14" s="194" customFormat="1" ht="24.95" customHeight="1" x14ac:dyDescent="0.35">
      <c r="A247" s="189"/>
      <c r="B247" s="190"/>
      <c r="C247" s="191"/>
      <c r="D247" s="192"/>
      <c r="E247" s="193"/>
      <c r="F247" s="187">
        <v>7.5750000000000002</v>
      </c>
      <c r="G247" s="188">
        <v>0.25</v>
      </c>
      <c r="H247" s="188">
        <v>0.6</v>
      </c>
      <c r="I247" s="188">
        <v>4</v>
      </c>
      <c r="J247" s="226" t="s">
        <v>28</v>
      </c>
      <c r="K247" s="253">
        <f>F247*G247*H247*I247</f>
        <v>4.5449999999999999</v>
      </c>
    </row>
    <row r="248" spans="1:14" s="194" customFormat="1" ht="24.95" customHeight="1" x14ac:dyDescent="0.35">
      <c r="A248" s="189"/>
      <c r="B248" s="190"/>
      <c r="C248" s="191"/>
      <c r="D248" s="192"/>
      <c r="E248" s="193"/>
      <c r="F248" s="187">
        <v>2.6749999999999998</v>
      </c>
      <c r="G248" s="188">
        <v>0.25</v>
      </c>
      <c r="H248" s="188">
        <v>0.6</v>
      </c>
      <c r="I248" s="188">
        <v>4</v>
      </c>
      <c r="J248" s="226" t="s">
        <v>28</v>
      </c>
      <c r="K248" s="253">
        <f>F248*G248*H248*I248</f>
        <v>1.6049999999999998</v>
      </c>
    </row>
    <row r="249" spans="1:14" s="194" customFormat="1" ht="24.95" customHeight="1" x14ac:dyDescent="0.35">
      <c r="A249" s="189"/>
      <c r="B249" s="190"/>
      <c r="C249" s="191"/>
      <c r="D249" s="192"/>
      <c r="E249" s="193"/>
      <c r="F249" s="187">
        <v>2.75</v>
      </c>
      <c r="G249" s="188">
        <v>0.25</v>
      </c>
      <c r="H249" s="188">
        <v>0.6</v>
      </c>
      <c r="I249" s="188">
        <v>4</v>
      </c>
      <c r="J249" s="226" t="s">
        <v>28</v>
      </c>
      <c r="K249" s="253">
        <f>F249*G249*H249*I249</f>
        <v>1.65</v>
      </c>
    </row>
    <row r="250" spans="1:14" s="194" customFormat="1" ht="24.95" customHeight="1" x14ac:dyDescent="0.35">
      <c r="A250" s="189"/>
      <c r="B250" s="190"/>
      <c r="C250" s="191"/>
      <c r="D250" s="192"/>
      <c r="E250" s="193"/>
      <c r="F250" s="187">
        <v>2.65</v>
      </c>
      <c r="G250" s="188">
        <v>0.25</v>
      </c>
      <c r="H250" s="188">
        <v>0.6</v>
      </c>
      <c r="I250" s="188">
        <v>7</v>
      </c>
      <c r="J250" s="226" t="s">
        <v>28</v>
      </c>
      <c r="K250" s="253">
        <f>F250*G250*H250*I250</f>
        <v>2.7824999999999998</v>
      </c>
    </row>
    <row r="251" spans="1:14" s="175" customFormat="1" ht="24.95" customHeight="1" thickBot="1" x14ac:dyDescent="0.4">
      <c r="A251" s="211"/>
      <c r="B251" s="516" t="s">
        <v>189</v>
      </c>
      <c r="C251" s="517"/>
      <c r="D251" s="517"/>
      <c r="E251" s="517"/>
      <c r="F251" s="517"/>
      <c r="G251" s="517"/>
      <c r="H251" s="517"/>
      <c r="I251" s="517"/>
      <c r="J251" s="518"/>
      <c r="K251" s="254">
        <f>SUM(K247:K250)</f>
        <v>10.5825</v>
      </c>
      <c r="L251" s="176"/>
      <c r="M251" s="174"/>
      <c r="N251" s="177"/>
    </row>
    <row r="252" spans="1:14" s="194" customFormat="1" ht="24.95" customHeight="1" x14ac:dyDescent="0.35">
      <c r="A252" s="189"/>
      <c r="B252" s="197">
        <v>2</v>
      </c>
      <c r="C252" s="192" t="e">
        <f>GEDUNG!#REF!</f>
        <v>#REF!</v>
      </c>
      <c r="D252" s="192"/>
      <c r="E252" s="193"/>
      <c r="F252" s="187"/>
      <c r="G252" s="188"/>
      <c r="H252" s="188"/>
      <c r="I252" s="188"/>
      <c r="J252" s="226"/>
      <c r="K252" s="253"/>
    </row>
    <row r="253" spans="1:14" s="194" customFormat="1" ht="24.95" customHeight="1" x14ac:dyDescent="0.35">
      <c r="A253" s="189"/>
      <c r="B253" s="190"/>
      <c r="C253" s="191"/>
      <c r="D253" s="192"/>
      <c r="E253" s="193"/>
      <c r="F253" s="187">
        <v>3.65</v>
      </c>
      <c r="G253" s="188">
        <v>0.25</v>
      </c>
      <c r="H253" s="188">
        <v>0.35</v>
      </c>
      <c r="I253" s="188">
        <v>8</v>
      </c>
      <c r="J253" s="226" t="s">
        <v>28</v>
      </c>
      <c r="K253" s="253">
        <f t="shared" ref="K253:K259" si="9">F253*G253*H253*I253</f>
        <v>2.5549999999999997</v>
      </c>
    </row>
    <row r="254" spans="1:14" s="194" customFormat="1" ht="24.95" customHeight="1" x14ac:dyDescent="0.35">
      <c r="A254" s="189"/>
      <c r="B254" s="190"/>
      <c r="C254" s="191"/>
      <c r="D254" s="192"/>
      <c r="E254" s="193"/>
      <c r="F254" s="187">
        <v>3.625</v>
      </c>
      <c r="G254" s="188">
        <v>0.25</v>
      </c>
      <c r="H254" s="188">
        <v>0.35</v>
      </c>
      <c r="I254" s="188">
        <v>11</v>
      </c>
      <c r="J254" s="226" t="s">
        <v>28</v>
      </c>
      <c r="K254" s="253">
        <f t="shared" si="9"/>
        <v>3.4890624999999993</v>
      </c>
    </row>
    <row r="255" spans="1:14" s="194" customFormat="1" ht="24.95" customHeight="1" x14ac:dyDescent="0.35">
      <c r="A255" s="189"/>
      <c r="B255" s="190"/>
      <c r="C255" s="191"/>
      <c r="D255" s="192"/>
      <c r="E255" s="193"/>
      <c r="F255" s="187">
        <v>3.6</v>
      </c>
      <c r="G255" s="188">
        <v>0.25</v>
      </c>
      <c r="H255" s="188">
        <v>0.35</v>
      </c>
      <c r="I255" s="188">
        <v>2</v>
      </c>
      <c r="J255" s="226" t="s">
        <v>28</v>
      </c>
      <c r="K255" s="253">
        <f t="shared" si="9"/>
        <v>0.63</v>
      </c>
    </row>
    <row r="256" spans="1:14" s="194" customFormat="1" ht="24.95" customHeight="1" x14ac:dyDescent="0.35">
      <c r="A256" s="189"/>
      <c r="B256" s="190"/>
      <c r="C256" s="191"/>
      <c r="D256" s="192"/>
      <c r="E256" s="193"/>
      <c r="F256" s="187">
        <v>3.5750000000000002</v>
      </c>
      <c r="G256" s="188">
        <v>0.25</v>
      </c>
      <c r="H256" s="188">
        <v>0.35</v>
      </c>
      <c r="I256" s="188">
        <v>2</v>
      </c>
      <c r="J256" s="226" t="s">
        <v>28</v>
      </c>
      <c r="K256" s="253">
        <f t="shared" si="9"/>
        <v>0.62562499999999999</v>
      </c>
    </row>
    <row r="257" spans="1:14" s="194" customFormat="1" ht="24.95" customHeight="1" x14ac:dyDescent="0.35">
      <c r="A257" s="189"/>
      <c r="B257" s="190"/>
      <c r="C257" s="191"/>
      <c r="D257" s="192"/>
      <c r="E257" s="193"/>
      <c r="F257" s="187">
        <v>1.65</v>
      </c>
      <c r="G257" s="188">
        <v>0.25</v>
      </c>
      <c r="H257" s="188">
        <v>0.35</v>
      </c>
      <c r="I257" s="188">
        <v>1</v>
      </c>
      <c r="J257" s="226" t="s">
        <v>28</v>
      </c>
      <c r="K257" s="253">
        <f t="shared" si="9"/>
        <v>0.14437499999999998</v>
      </c>
    </row>
    <row r="258" spans="1:14" s="194" customFormat="1" ht="24.95" customHeight="1" x14ac:dyDescent="0.35">
      <c r="A258" s="189"/>
      <c r="B258" s="190"/>
      <c r="C258" s="191"/>
      <c r="D258" s="192"/>
      <c r="E258" s="193"/>
      <c r="F258" s="187">
        <v>1.625</v>
      </c>
      <c r="G258" s="188">
        <v>0.25</v>
      </c>
      <c r="H258" s="188">
        <v>0.35</v>
      </c>
      <c r="I258" s="188">
        <v>1</v>
      </c>
      <c r="J258" s="226" t="s">
        <v>28</v>
      </c>
      <c r="K258" s="253">
        <f t="shared" si="9"/>
        <v>0.14218749999999999</v>
      </c>
    </row>
    <row r="259" spans="1:14" s="194" customFormat="1" ht="24.95" customHeight="1" x14ac:dyDescent="0.35">
      <c r="A259" s="189"/>
      <c r="B259" s="190"/>
      <c r="C259" s="191"/>
      <c r="D259" s="192"/>
      <c r="E259" s="193"/>
      <c r="F259" s="187">
        <v>0.95</v>
      </c>
      <c r="G259" s="188">
        <v>0.25</v>
      </c>
      <c r="H259" s="188">
        <v>0.35</v>
      </c>
      <c r="I259" s="188">
        <v>2</v>
      </c>
      <c r="J259" s="226" t="s">
        <v>28</v>
      </c>
      <c r="K259" s="253">
        <f t="shared" si="9"/>
        <v>0.16624999999999998</v>
      </c>
    </row>
    <row r="260" spans="1:14" s="175" customFormat="1" ht="24.95" customHeight="1" thickBot="1" x14ac:dyDescent="0.4">
      <c r="A260" s="211"/>
      <c r="B260" s="516" t="s">
        <v>189</v>
      </c>
      <c r="C260" s="517"/>
      <c r="D260" s="517"/>
      <c r="E260" s="517"/>
      <c r="F260" s="517"/>
      <c r="G260" s="517"/>
      <c r="H260" s="517"/>
      <c r="I260" s="517"/>
      <c r="J260" s="518"/>
      <c r="K260" s="254">
        <f>SUM(K253:K259)</f>
        <v>7.7524999999999995</v>
      </c>
      <c r="L260" s="176"/>
      <c r="M260" s="174"/>
      <c r="N260" s="177"/>
    </row>
    <row r="261" spans="1:14" s="194" customFormat="1" ht="24.95" customHeight="1" x14ac:dyDescent="0.35">
      <c r="A261" s="189"/>
      <c r="B261" s="197">
        <v>3</v>
      </c>
      <c r="C261" s="192" t="e">
        <f>GEDUNG!#REF!</f>
        <v>#REF!</v>
      </c>
      <c r="D261" s="192"/>
      <c r="E261" s="193"/>
      <c r="F261" s="187"/>
      <c r="G261" s="188"/>
      <c r="H261" s="188"/>
      <c r="I261" s="188"/>
      <c r="J261" s="226"/>
      <c r="K261" s="253"/>
    </row>
    <row r="262" spans="1:14" s="194" customFormat="1" ht="24.95" customHeight="1" x14ac:dyDescent="0.35">
      <c r="A262" s="189"/>
      <c r="B262" s="190"/>
      <c r="C262" s="191"/>
      <c r="D262" s="192"/>
      <c r="E262" s="193"/>
      <c r="F262" s="187">
        <v>1.3</v>
      </c>
      <c r="G262" s="188">
        <v>0.25</v>
      </c>
      <c r="H262" s="188">
        <v>0.4</v>
      </c>
      <c r="I262" s="188">
        <v>1</v>
      </c>
      <c r="J262" s="226" t="s">
        <v>28</v>
      </c>
      <c r="K262" s="253">
        <f>F262*G262*H262*I262</f>
        <v>0.13</v>
      </c>
    </row>
    <row r="263" spans="1:14" s="194" customFormat="1" ht="24.95" customHeight="1" x14ac:dyDescent="0.35">
      <c r="A263" s="189"/>
      <c r="B263" s="190"/>
      <c r="C263" s="191"/>
      <c r="D263" s="192"/>
      <c r="E263" s="193"/>
      <c r="F263" s="187">
        <v>0.57499999999999996</v>
      </c>
      <c r="G263" s="188">
        <v>0.25</v>
      </c>
      <c r="H263" s="188">
        <v>0.4</v>
      </c>
      <c r="I263" s="188">
        <v>3</v>
      </c>
      <c r="J263" s="226" t="s">
        <v>28</v>
      </c>
      <c r="K263" s="253">
        <f>F263*G263*H263*I263</f>
        <v>0.17249999999999999</v>
      </c>
    </row>
    <row r="264" spans="1:14" s="194" customFormat="1" ht="24.95" customHeight="1" x14ac:dyDescent="0.35">
      <c r="A264" s="189"/>
      <c r="B264" s="190"/>
      <c r="C264" s="191"/>
      <c r="D264" s="192"/>
      <c r="E264" s="193"/>
      <c r="F264" s="187">
        <v>0.42499999999999999</v>
      </c>
      <c r="G264" s="188">
        <v>0.25</v>
      </c>
      <c r="H264" s="188">
        <v>0.4</v>
      </c>
      <c r="I264" s="188">
        <v>3</v>
      </c>
      <c r="J264" s="226" t="s">
        <v>28</v>
      </c>
      <c r="K264" s="253">
        <f>F264*G264*H264*I264</f>
        <v>0.1275</v>
      </c>
    </row>
    <row r="265" spans="1:14" s="175" customFormat="1" ht="24.95" customHeight="1" thickBot="1" x14ac:dyDescent="0.4">
      <c r="A265" s="211"/>
      <c r="B265" s="516" t="s">
        <v>189</v>
      </c>
      <c r="C265" s="517"/>
      <c r="D265" s="517"/>
      <c r="E265" s="517"/>
      <c r="F265" s="517"/>
      <c r="G265" s="517"/>
      <c r="H265" s="517"/>
      <c r="I265" s="517"/>
      <c r="J265" s="518"/>
      <c r="K265" s="254">
        <f>SUM(K262:K264)</f>
        <v>0.43</v>
      </c>
      <c r="L265" s="176"/>
      <c r="M265" s="174"/>
      <c r="N265" s="177"/>
    </row>
    <row r="266" spans="1:14" s="194" customFormat="1" ht="24.95" customHeight="1" x14ac:dyDescent="0.35">
      <c r="A266" s="189"/>
      <c r="B266" s="197">
        <v>4</v>
      </c>
      <c r="C266" s="192" t="e">
        <f>GEDUNG!#REF!</f>
        <v>#REF!</v>
      </c>
      <c r="D266" s="192"/>
      <c r="E266" s="193"/>
      <c r="F266" s="187"/>
      <c r="G266" s="188"/>
      <c r="H266" s="188"/>
      <c r="I266" s="188"/>
      <c r="J266" s="226"/>
      <c r="K266" s="253"/>
    </row>
    <row r="267" spans="1:14" s="194" customFormat="1" ht="24.95" customHeight="1" x14ac:dyDescent="0.35">
      <c r="A267" s="189"/>
      <c r="B267" s="190"/>
      <c r="C267" s="191"/>
      <c r="D267" s="192"/>
      <c r="E267" s="193"/>
      <c r="F267" s="187">
        <v>3.75</v>
      </c>
      <c r="G267" s="188">
        <v>0.2</v>
      </c>
      <c r="H267" s="188">
        <v>0.3</v>
      </c>
      <c r="I267" s="188">
        <v>2</v>
      </c>
      <c r="J267" s="226" t="s">
        <v>28</v>
      </c>
      <c r="K267" s="253">
        <f t="shared" ref="K267:K275" si="10">F267*G267*H267*I267</f>
        <v>0.44999999999999996</v>
      </c>
    </row>
    <row r="268" spans="1:14" s="194" customFormat="1" ht="24.95" customHeight="1" x14ac:dyDescent="0.35">
      <c r="A268" s="189"/>
      <c r="B268" s="190"/>
      <c r="C268" s="191"/>
      <c r="D268" s="192"/>
      <c r="E268" s="193"/>
      <c r="F268" s="187">
        <v>2.75</v>
      </c>
      <c r="G268" s="188">
        <v>0.2</v>
      </c>
      <c r="H268" s="188">
        <v>0.3</v>
      </c>
      <c r="I268" s="188">
        <v>1</v>
      </c>
      <c r="J268" s="226" t="s">
        <v>28</v>
      </c>
      <c r="K268" s="253">
        <f t="shared" si="10"/>
        <v>0.16500000000000001</v>
      </c>
    </row>
    <row r="269" spans="1:14" s="194" customFormat="1" ht="24.95" customHeight="1" x14ac:dyDescent="0.35">
      <c r="A269" s="189"/>
      <c r="B269" s="190"/>
      <c r="C269" s="191"/>
      <c r="D269" s="192"/>
      <c r="E269" s="193"/>
      <c r="F269" s="187">
        <v>2.65</v>
      </c>
      <c r="G269" s="188">
        <v>0.2</v>
      </c>
      <c r="H269" s="188">
        <v>0.3</v>
      </c>
      <c r="I269" s="188">
        <v>12</v>
      </c>
      <c r="J269" s="226" t="s">
        <v>28</v>
      </c>
      <c r="K269" s="253">
        <f t="shared" si="10"/>
        <v>1.9079999999999999</v>
      </c>
    </row>
    <row r="270" spans="1:14" s="194" customFormat="1" ht="24.95" customHeight="1" x14ac:dyDescent="0.35">
      <c r="A270" s="189"/>
      <c r="B270" s="190"/>
      <c r="C270" s="191"/>
      <c r="D270" s="192"/>
      <c r="E270" s="193"/>
      <c r="F270" s="187">
        <v>2.625</v>
      </c>
      <c r="G270" s="188">
        <v>0.2</v>
      </c>
      <c r="H270" s="188">
        <v>0.3</v>
      </c>
      <c r="I270" s="188">
        <v>8</v>
      </c>
      <c r="J270" s="226" t="s">
        <v>28</v>
      </c>
      <c r="K270" s="253">
        <f t="shared" si="10"/>
        <v>1.26</v>
      </c>
    </row>
    <row r="271" spans="1:14" s="194" customFormat="1" ht="24.95" customHeight="1" x14ac:dyDescent="0.35">
      <c r="A271" s="189"/>
      <c r="B271" s="190"/>
      <c r="C271" s="191"/>
      <c r="D271" s="192"/>
      <c r="E271" s="193"/>
      <c r="F271" s="187">
        <v>2.6</v>
      </c>
      <c r="G271" s="188">
        <v>0.2</v>
      </c>
      <c r="H271" s="188">
        <v>0.3</v>
      </c>
      <c r="I271" s="188">
        <v>6</v>
      </c>
      <c r="J271" s="226" t="s">
        <v>28</v>
      </c>
      <c r="K271" s="253">
        <f t="shared" si="10"/>
        <v>0.93599999999999994</v>
      </c>
    </row>
    <row r="272" spans="1:14" s="194" customFormat="1" ht="24.95" customHeight="1" x14ac:dyDescent="0.35">
      <c r="A272" s="189"/>
      <c r="B272" s="190"/>
      <c r="C272" s="191"/>
      <c r="D272" s="192"/>
      <c r="E272" s="193"/>
      <c r="F272" s="187">
        <v>2.5750000000000002</v>
      </c>
      <c r="G272" s="188">
        <v>0.2</v>
      </c>
      <c r="H272" s="188">
        <v>0.3</v>
      </c>
      <c r="I272" s="188">
        <v>2</v>
      </c>
      <c r="J272" s="226" t="s">
        <v>28</v>
      </c>
      <c r="K272" s="253">
        <f t="shared" si="10"/>
        <v>0.309</v>
      </c>
    </row>
    <row r="273" spans="1:14" s="194" customFormat="1" ht="24.95" customHeight="1" x14ac:dyDescent="0.35">
      <c r="A273" s="189"/>
      <c r="B273" s="190"/>
      <c r="C273" s="191"/>
      <c r="D273" s="192"/>
      <c r="E273" s="193"/>
      <c r="F273" s="187">
        <v>2.5499999999999998</v>
      </c>
      <c r="G273" s="188">
        <v>0.2</v>
      </c>
      <c r="H273" s="188">
        <v>0.3</v>
      </c>
      <c r="I273" s="188">
        <v>2</v>
      </c>
      <c r="J273" s="226" t="s">
        <v>28</v>
      </c>
      <c r="K273" s="253">
        <f t="shared" si="10"/>
        <v>0.30599999999999999</v>
      </c>
    </row>
    <row r="274" spans="1:14" s="194" customFormat="1" ht="24.95" customHeight="1" x14ac:dyDescent="0.35">
      <c r="A274" s="189"/>
      <c r="B274" s="190"/>
      <c r="C274" s="191"/>
      <c r="D274" s="192"/>
      <c r="E274" s="193"/>
      <c r="F274" s="187">
        <v>1.65</v>
      </c>
      <c r="G274" s="188">
        <v>0.2</v>
      </c>
      <c r="H274" s="188">
        <v>0.3</v>
      </c>
      <c r="I274" s="188">
        <v>7</v>
      </c>
      <c r="J274" s="226" t="s">
        <v>28</v>
      </c>
      <c r="K274" s="253">
        <f t="shared" si="10"/>
        <v>0.69300000000000006</v>
      </c>
    </row>
    <row r="275" spans="1:14" s="194" customFormat="1" ht="24.95" customHeight="1" x14ac:dyDescent="0.35">
      <c r="A275" s="189"/>
      <c r="B275" s="190"/>
      <c r="C275" s="191"/>
      <c r="D275" s="192"/>
      <c r="E275" s="193"/>
      <c r="F275" s="187">
        <v>1.625</v>
      </c>
      <c r="G275" s="188">
        <v>0.2</v>
      </c>
      <c r="H275" s="188">
        <v>0.3</v>
      </c>
      <c r="I275" s="188">
        <v>7</v>
      </c>
      <c r="J275" s="226" t="s">
        <v>28</v>
      </c>
      <c r="K275" s="253">
        <f t="shared" si="10"/>
        <v>0.6825</v>
      </c>
    </row>
    <row r="276" spans="1:14" s="175" customFormat="1" ht="24.95" customHeight="1" thickBot="1" x14ac:dyDescent="0.4">
      <c r="A276" s="211"/>
      <c r="B276" s="516" t="s">
        <v>189</v>
      </c>
      <c r="C276" s="517"/>
      <c r="D276" s="517"/>
      <c r="E276" s="517"/>
      <c r="F276" s="517"/>
      <c r="G276" s="517"/>
      <c r="H276" s="517"/>
      <c r="I276" s="517"/>
      <c r="J276" s="518"/>
      <c r="K276" s="254">
        <f>SUM(K267:K275)</f>
        <v>6.7094999999999994</v>
      </c>
      <c r="L276" s="176"/>
      <c r="M276" s="174"/>
      <c r="N276" s="177"/>
    </row>
    <row r="277" spans="1:14" s="194" customFormat="1" ht="24.95" customHeight="1" x14ac:dyDescent="0.35">
      <c r="A277" s="189"/>
      <c r="B277" s="197">
        <v>5</v>
      </c>
      <c r="C277" s="192" t="e">
        <f>GEDUNG!#REF!</f>
        <v>#REF!</v>
      </c>
      <c r="D277" s="192"/>
      <c r="E277" s="193"/>
      <c r="F277" s="187"/>
      <c r="G277" s="188"/>
      <c r="H277" s="188"/>
      <c r="I277" s="188"/>
      <c r="J277" s="226"/>
      <c r="K277" s="253"/>
    </row>
    <row r="278" spans="1:14" s="194" customFormat="1" ht="24.95" customHeight="1" x14ac:dyDescent="0.35">
      <c r="A278" s="189"/>
      <c r="B278" s="190"/>
      <c r="C278" s="192"/>
      <c r="D278" s="192"/>
      <c r="E278" s="193" t="s">
        <v>219</v>
      </c>
      <c r="F278" s="187">
        <v>0.4</v>
      </c>
      <c r="G278" s="188">
        <v>0.4</v>
      </c>
      <c r="H278" s="188">
        <v>4</v>
      </c>
      <c r="I278" s="188">
        <v>12</v>
      </c>
      <c r="J278" s="226" t="s">
        <v>28</v>
      </c>
      <c r="K278" s="253">
        <f>F278*G278*H278*I278</f>
        <v>7.6800000000000015</v>
      </c>
    </row>
    <row r="279" spans="1:14" s="194" customFormat="1" ht="24.95" customHeight="1" x14ac:dyDescent="0.35">
      <c r="A279" s="189"/>
      <c r="B279" s="190"/>
      <c r="C279" s="192"/>
      <c r="D279" s="192"/>
      <c r="E279" s="193" t="s">
        <v>220</v>
      </c>
      <c r="F279" s="187">
        <v>0.4</v>
      </c>
      <c r="G279" s="188">
        <v>0.4</v>
      </c>
      <c r="H279" s="188">
        <v>3</v>
      </c>
      <c r="I279" s="188">
        <v>1</v>
      </c>
      <c r="J279" s="226" t="s">
        <v>28</v>
      </c>
      <c r="K279" s="253">
        <f>F279*G279*H279*I279</f>
        <v>0.48000000000000009</v>
      </c>
    </row>
    <row r="280" spans="1:14" s="175" customFormat="1" ht="24.95" customHeight="1" thickBot="1" x14ac:dyDescent="0.4">
      <c r="A280" s="211"/>
      <c r="B280" s="516" t="s">
        <v>189</v>
      </c>
      <c r="C280" s="517"/>
      <c r="D280" s="517"/>
      <c r="E280" s="517"/>
      <c r="F280" s="517"/>
      <c r="G280" s="517"/>
      <c r="H280" s="517"/>
      <c r="I280" s="517"/>
      <c r="J280" s="518"/>
      <c r="K280" s="254">
        <f>SUM(K278:K279)</f>
        <v>8.1600000000000019</v>
      </c>
      <c r="L280" s="174"/>
      <c r="N280" s="177"/>
    </row>
    <row r="281" spans="1:14" s="194" customFormat="1" ht="24.95" customHeight="1" x14ac:dyDescent="0.35">
      <c r="A281" s="189"/>
      <c r="B281" s="197">
        <v>6</v>
      </c>
      <c r="C281" s="192" t="str">
        <f>GEDUNG!D86</f>
        <v xml:space="preserve">Pek. Plat Lantai T. 12 cm Beton Bertulang fc 21,7 Mpa </v>
      </c>
      <c r="D281" s="192"/>
      <c r="E281" s="193"/>
      <c r="F281" s="187"/>
      <c r="G281" s="188"/>
      <c r="H281" s="188"/>
      <c r="I281" s="188"/>
      <c r="J281" s="226"/>
      <c r="K281" s="253"/>
    </row>
    <row r="282" spans="1:14" s="194" customFormat="1" ht="24.95" customHeight="1" x14ac:dyDescent="0.35">
      <c r="A282" s="189"/>
      <c r="B282" s="190"/>
      <c r="C282" s="192"/>
      <c r="D282" s="192"/>
      <c r="E282" s="193"/>
      <c r="F282" s="187"/>
      <c r="G282" s="188">
        <f>117.0856+253.4226</f>
        <v>370.50819999999999</v>
      </c>
      <c r="H282" s="188">
        <v>0.12</v>
      </c>
      <c r="I282" s="188">
        <v>1</v>
      </c>
      <c r="J282" s="226" t="s">
        <v>28</v>
      </c>
      <c r="K282" s="253">
        <f>G282*H282*I282</f>
        <v>44.460983999999996</v>
      </c>
    </row>
    <row r="283" spans="1:14" s="194" customFormat="1" ht="24.95" customHeight="1" x14ac:dyDescent="0.35">
      <c r="A283" s="189"/>
      <c r="B283" s="190"/>
      <c r="C283" s="192"/>
      <c r="D283" s="192"/>
      <c r="E283" s="193"/>
      <c r="F283" s="187"/>
      <c r="G283" s="188">
        <f>6.46+1.83+8.94</f>
        <v>17.229999999999997</v>
      </c>
      <c r="H283" s="188">
        <v>0.12</v>
      </c>
      <c r="I283" s="188">
        <v>1</v>
      </c>
      <c r="J283" s="226" t="s">
        <v>28</v>
      </c>
      <c r="K283" s="253">
        <f>G283*H283*I283</f>
        <v>2.0675999999999997</v>
      </c>
    </row>
    <row r="284" spans="1:14" s="175" customFormat="1" ht="24.95" customHeight="1" thickBot="1" x14ac:dyDescent="0.4">
      <c r="A284" s="211"/>
      <c r="B284" s="516" t="s">
        <v>189</v>
      </c>
      <c r="C284" s="517"/>
      <c r="D284" s="517"/>
      <c r="E284" s="517"/>
      <c r="F284" s="517"/>
      <c r="G284" s="517"/>
      <c r="H284" s="517"/>
      <c r="I284" s="517"/>
      <c r="J284" s="518"/>
      <c r="K284" s="254">
        <f>SUM(K282:K283)</f>
        <v>46.528583999999995</v>
      </c>
      <c r="L284" s="174"/>
      <c r="N284" s="177"/>
    </row>
    <row r="285" spans="1:14" s="175" customFormat="1" ht="24.95" customHeight="1" x14ac:dyDescent="0.35">
      <c r="A285" s="211"/>
      <c r="B285" s="258"/>
      <c r="C285" s="259"/>
      <c r="D285" s="259"/>
      <c r="E285" s="259"/>
      <c r="F285" s="259"/>
      <c r="G285" s="259"/>
      <c r="H285" s="259"/>
      <c r="I285" s="259"/>
      <c r="J285" s="260"/>
      <c r="K285" s="254"/>
      <c r="L285" s="276"/>
      <c r="N285" s="177"/>
    </row>
    <row r="286" spans="1:14" s="194" customFormat="1" ht="24.95" customHeight="1" x14ac:dyDescent="0.35">
      <c r="A286" s="189"/>
      <c r="B286" s="197">
        <v>6</v>
      </c>
      <c r="C286" s="192" t="e">
        <f>GEDUNG!#REF!</f>
        <v>#REF!</v>
      </c>
      <c r="D286" s="192"/>
      <c r="E286" s="193"/>
      <c r="F286" s="187"/>
      <c r="G286" s="188"/>
      <c r="H286" s="188"/>
      <c r="I286" s="188"/>
      <c r="J286" s="226"/>
      <c r="K286" s="253"/>
    </row>
    <row r="287" spans="1:14" s="194" customFormat="1" ht="24.95" customHeight="1" x14ac:dyDescent="0.35">
      <c r="A287" s="189"/>
      <c r="B287" s="190"/>
      <c r="C287" s="192"/>
      <c r="D287" s="192"/>
      <c r="E287" s="193" t="s">
        <v>219</v>
      </c>
      <c r="F287" s="187">
        <v>0.35</v>
      </c>
      <c r="G287" s="188">
        <v>0.35</v>
      </c>
      <c r="H287" s="188">
        <v>4</v>
      </c>
      <c r="I287" s="188">
        <v>29</v>
      </c>
      <c r="J287" s="226" t="s">
        <v>28</v>
      </c>
      <c r="K287" s="253">
        <f>F287*G287*H287*I287</f>
        <v>14.209999999999997</v>
      </c>
    </row>
    <row r="288" spans="1:14" s="194" customFormat="1" ht="24.95" customHeight="1" x14ac:dyDescent="0.35">
      <c r="A288" s="189"/>
      <c r="B288" s="190"/>
      <c r="C288" s="192"/>
      <c r="D288" s="192"/>
      <c r="E288" s="193" t="s">
        <v>220</v>
      </c>
      <c r="F288" s="187">
        <v>0.35</v>
      </c>
      <c r="G288" s="188">
        <v>0.35</v>
      </c>
      <c r="H288" s="188">
        <v>3</v>
      </c>
      <c r="I288" s="188">
        <v>3</v>
      </c>
      <c r="J288" s="226" t="s">
        <v>28</v>
      </c>
      <c r="K288" s="253">
        <f>F288*G288*H288*I288</f>
        <v>1.1024999999999998</v>
      </c>
    </row>
    <row r="289" spans="1:14" s="175" customFormat="1" ht="24.95" customHeight="1" thickBot="1" x14ac:dyDescent="0.4">
      <c r="A289" s="211"/>
      <c r="B289" s="516" t="s">
        <v>189</v>
      </c>
      <c r="C289" s="517"/>
      <c r="D289" s="517"/>
      <c r="E289" s="517"/>
      <c r="F289" s="517"/>
      <c r="G289" s="517"/>
      <c r="H289" s="517"/>
      <c r="I289" s="517"/>
      <c r="J289" s="518"/>
      <c r="K289" s="254">
        <f>SUM(K287:K288)</f>
        <v>15.312499999999996</v>
      </c>
      <c r="L289" s="174"/>
      <c r="N289" s="177"/>
    </row>
    <row r="290" spans="1:14" s="194" customFormat="1" ht="24.95" customHeight="1" x14ac:dyDescent="0.35">
      <c r="A290" s="189"/>
      <c r="B290" s="197">
        <v>7</v>
      </c>
      <c r="C290" s="192" t="e">
        <f>GEDUNG!#REF!</f>
        <v>#REF!</v>
      </c>
      <c r="D290" s="192"/>
      <c r="E290" s="193"/>
      <c r="F290" s="187"/>
      <c r="G290" s="188"/>
      <c r="H290" s="188"/>
      <c r="I290" s="188"/>
      <c r="J290" s="226"/>
      <c r="K290" s="253"/>
    </row>
    <row r="291" spans="1:14" s="194" customFormat="1" ht="24.95" customHeight="1" x14ac:dyDescent="0.35">
      <c r="A291" s="189"/>
      <c r="B291" s="190"/>
      <c r="C291" s="192"/>
      <c r="D291" s="192"/>
      <c r="E291" s="193"/>
      <c r="F291" s="187">
        <v>0.2</v>
      </c>
      <c r="G291" s="188">
        <v>0.2</v>
      </c>
      <c r="H291" s="188">
        <v>2.65</v>
      </c>
      <c r="I291" s="188">
        <v>10</v>
      </c>
      <c r="J291" s="226" t="s">
        <v>28</v>
      </c>
      <c r="K291" s="253">
        <f>F291*G291*H291*I291</f>
        <v>1.06</v>
      </c>
    </row>
    <row r="292" spans="1:14" s="175" customFormat="1" ht="24.95" customHeight="1" thickBot="1" x14ac:dyDescent="0.4">
      <c r="A292" s="211"/>
      <c r="B292" s="516" t="s">
        <v>189</v>
      </c>
      <c r="C292" s="517"/>
      <c r="D292" s="517"/>
      <c r="E292" s="517"/>
      <c r="F292" s="517"/>
      <c r="G292" s="517"/>
      <c r="H292" s="517"/>
      <c r="I292" s="517"/>
      <c r="J292" s="518"/>
      <c r="K292" s="254">
        <f>SUM(K291:K291)</f>
        <v>1.06</v>
      </c>
      <c r="L292" s="174"/>
      <c r="N292" s="177"/>
    </row>
    <row r="293" spans="1:14" s="194" customFormat="1" ht="24.95" customHeight="1" x14ac:dyDescent="0.35">
      <c r="A293" s="189"/>
      <c r="B293" s="197">
        <v>8</v>
      </c>
      <c r="C293" s="192" t="e">
        <f>GEDUNG!#REF!</f>
        <v>#REF!</v>
      </c>
      <c r="D293" s="192"/>
      <c r="E293" s="193"/>
      <c r="F293" s="187"/>
      <c r="G293" s="188"/>
      <c r="H293" s="188"/>
      <c r="I293" s="188"/>
      <c r="J293" s="226"/>
      <c r="K293" s="253"/>
    </row>
    <row r="294" spans="1:14" s="194" customFormat="1" ht="24.95" customHeight="1" x14ac:dyDescent="0.35">
      <c r="A294" s="189"/>
      <c r="B294" s="190"/>
      <c r="C294" s="192"/>
      <c r="D294" s="192"/>
      <c r="E294" s="193"/>
      <c r="F294" s="187">
        <v>0.25</v>
      </c>
      <c r="G294" s="188">
        <v>0.3</v>
      </c>
      <c r="H294" s="188">
        <v>3.75</v>
      </c>
      <c r="I294" s="188">
        <v>2</v>
      </c>
      <c r="J294" s="226" t="s">
        <v>28</v>
      </c>
      <c r="K294" s="253">
        <f t="shared" ref="K294:K300" si="11">F294*G294*H294*I294</f>
        <v>0.5625</v>
      </c>
    </row>
    <row r="295" spans="1:14" s="194" customFormat="1" ht="24.95" customHeight="1" x14ac:dyDescent="0.35">
      <c r="A295" s="189"/>
      <c r="B295" s="190"/>
      <c r="C295" s="192"/>
      <c r="D295" s="192"/>
      <c r="E295" s="193"/>
      <c r="F295" s="187">
        <v>0.25</v>
      </c>
      <c r="G295" s="188">
        <v>0.3</v>
      </c>
      <c r="H295" s="188">
        <v>3.65</v>
      </c>
      <c r="I295" s="188">
        <v>9</v>
      </c>
      <c r="J295" s="226" t="s">
        <v>28</v>
      </c>
      <c r="K295" s="253">
        <f t="shared" si="11"/>
        <v>2.4637500000000001</v>
      </c>
    </row>
    <row r="296" spans="1:14" s="194" customFormat="1" ht="24.95" customHeight="1" x14ac:dyDescent="0.35">
      <c r="A296" s="189"/>
      <c r="B296" s="190"/>
      <c r="C296" s="192"/>
      <c r="D296" s="192"/>
      <c r="E296" s="193"/>
      <c r="F296" s="187">
        <v>0.25</v>
      </c>
      <c r="G296" s="188">
        <v>0.3</v>
      </c>
      <c r="H296" s="188">
        <v>3.625</v>
      </c>
      <c r="I296" s="188">
        <v>10</v>
      </c>
      <c r="J296" s="226" t="s">
        <v>28</v>
      </c>
      <c r="K296" s="253">
        <f t="shared" si="11"/>
        <v>2.71875</v>
      </c>
    </row>
    <row r="297" spans="1:14" s="194" customFormat="1" ht="24.95" customHeight="1" x14ac:dyDescent="0.35">
      <c r="A297" s="189"/>
      <c r="B297" s="190"/>
      <c r="C297" s="192"/>
      <c r="D297" s="192"/>
      <c r="E297" s="193"/>
      <c r="F297" s="187">
        <v>0.25</v>
      </c>
      <c r="G297" s="188">
        <v>0.3</v>
      </c>
      <c r="H297" s="188">
        <v>2.75</v>
      </c>
      <c r="I297" s="188">
        <v>1</v>
      </c>
      <c r="J297" s="226" t="s">
        <v>28</v>
      </c>
      <c r="K297" s="253">
        <f t="shared" si="11"/>
        <v>0.20624999999999999</v>
      </c>
    </row>
    <row r="298" spans="1:14" s="194" customFormat="1" ht="24.95" customHeight="1" x14ac:dyDescent="0.35">
      <c r="A298" s="189"/>
      <c r="B298" s="190"/>
      <c r="C298" s="192"/>
      <c r="D298" s="192"/>
      <c r="E298" s="193"/>
      <c r="F298" s="187">
        <v>0.25</v>
      </c>
      <c r="G298" s="188">
        <v>0.3</v>
      </c>
      <c r="H298" s="188">
        <v>2.65</v>
      </c>
      <c r="I298" s="188">
        <v>12</v>
      </c>
      <c r="J298" s="226" t="s">
        <v>28</v>
      </c>
      <c r="K298" s="253">
        <f t="shared" si="11"/>
        <v>2.3849999999999998</v>
      </c>
    </row>
    <row r="299" spans="1:14" s="194" customFormat="1" ht="24.95" customHeight="1" x14ac:dyDescent="0.35">
      <c r="A299" s="189"/>
      <c r="B299" s="190"/>
      <c r="C299" s="192"/>
      <c r="D299" s="192"/>
      <c r="E299" s="193"/>
      <c r="F299" s="187">
        <v>0.25</v>
      </c>
      <c r="G299" s="188">
        <v>0.3</v>
      </c>
      <c r="H299" s="188">
        <v>2.625</v>
      </c>
      <c r="I299" s="188">
        <v>8</v>
      </c>
      <c r="J299" s="226" t="s">
        <v>28</v>
      </c>
      <c r="K299" s="253">
        <f t="shared" si="11"/>
        <v>1.575</v>
      </c>
    </row>
    <row r="300" spans="1:14" s="194" customFormat="1" ht="24.95" customHeight="1" x14ac:dyDescent="0.35">
      <c r="A300" s="189"/>
      <c r="B300" s="190"/>
      <c r="C300" s="192"/>
      <c r="D300" s="192"/>
      <c r="E300" s="193"/>
      <c r="F300" s="187">
        <v>0.25</v>
      </c>
      <c r="G300" s="188">
        <v>0.3</v>
      </c>
      <c r="H300" s="188">
        <v>2.6</v>
      </c>
      <c r="I300" s="188">
        <v>2</v>
      </c>
      <c r="J300" s="226" t="s">
        <v>28</v>
      </c>
      <c r="K300" s="253">
        <f t="shared" si="11"/>
        <v>0.39</v>
      </c>
    </row>
    <row r="301" spans="1:14" s="175" customFormat="1" ht="24.95" customHeight="1" thickBot="1" x14ac:dyDescent="0.4">
      <c r="A301" s="211"/>
      <c r="B301" s="516" t="s">
        <v>189</v>
      </c>
      <c r="C301" s="517"/>
      <c r="D301" s="517"/>
      <c r="E301" s="517"/>
      <c r="F301" s="517"/>
      <c r="G301" s="517"/>
      <c r="H301" s="517"/>
      <c r="I301" s="517"/>
      <c r="J301" s="518"/>
      <c r="K301" s="254">
        <f>SUM(K294:K300)</f>
        <v>10.30125</v>
      </c>
      <c r="L301" s="174"/>
      <c r="N301" s="177"/>
    </row>
    <row r="302" spans="1:14" s="194" customFormat="1" ht="24.95" customHeight="1" x14ac:dyDescent="0.35">
      <c r="A302" s="189"/>
      <c r="B302" s="197">
        <v>9</v>
      </c>
      <c r="C302" s="192" t="e">
        <f>GEDUNG!#REF!</f>
        <v>#REF!</v>
      </c>
      <c r="D302" s="192"/>
      <c r="E302" s="193"/>
      <c r="F302" s="187"/>
      <c r="G302" s="188"/>
      <c r="H302" s="188"/>
      <c r="I302" s="188"/>
      <c r="J302" s="226"/>
      <c r="K302" s="253"/>
    </row>
    <row r="303" spans="1:14" s="194" customFormat="1" ht="24.95" customHeight="1" x14ac:dyDescent="0.35">
      <c r="A303" s="189"/>
      <c r="B303" s="190"/>
      <c r="C303" s="192"/>
      <c r="D303" s="192"/>
      <c r="E303" s="193"/>
      <c r="F303" s="187">
        <v>0.2</v>
      </c>
      <c r="G303" s="188">
        <v>0.4</v>
      </c>
      <c r="H303" s="188">
        <v>1.425</v>
      </c>
      <c r="I303" s="188">
        <v>4</v>
      </c>
      <c r="J303" s="226" t="s">
        <v>28</v>
      </c>
      <c r="K303" s="253">
        <f>F303*G303*H303*I303</f>
        <v>0.45600000000000013</v>
      </c>
    </row>
    <row r="304" spans="1:14" s="175" customFormat="1" ht="24.95" customHeight="1" thickBot="1" x14ac:dyDescent="0.4">
      <c r="A304" s="211"/>
      <c r="B304" s="516" t="s">
        <v>189</v>
      </c>
      <c r="C304" s="517"/>
      <c r="D304" s="517"/>
      <c r="E304" s="517"/>
      <c r="F304" s="517"/>
      <c r="G304" s="517"/>
      <c r="H304" s="517"/>
      <c r="I304" s="517"/>
      <c r="J304" s="518"/>
      <c r="K304" s="254">
        <f>SUM(K303:K303)</f>
        <v>0.45600000000000013</v>
      </c>
      <c r="L304" s="174"/>
      <c r="N304" s="177"/>
    </row>
    <row r="305" spans="1:14" s="194" customFormat="1" ht="24.95" customHeight="1" x14ac:dyDescent="0.35">
      <c r="A305" s="189"/>
      <c r="B305" s="197">
        <v>10</v>
      </c>
      <c r="C305" s="192" t="e">
        <f>GEDUNG!#REF!</f>
        <v>#REF!</v>
      </c>
      <c r="D305" s="192"/>
      <c r="E305" s="193"/>
      <c r="F305" s="187"/>
      <c r="G305" s="188"/>
      <c r="H305" s="188"/>
      <c r="I305" s="188"/>
      <c r="J305" s="226"/>
      <c r="K305" s="253"/>
    </row>
    <row r="306" spans="1:14" s="194" customFormat="1" ht="24.95" customHeight="1" x14ac:dyDescent="0.35">
      <c r="A306" s="189"/>
      <c r="B306" s="190"/>
      <c r="C306" s="192"/>
      <c r="D306" s="192"/>
      <c r="E306" s="193"/>
      <c r="F306" s="187">
        <v>0.2</v>
      </c>
      <c r="G306" s="188">
        <v>0.25</v>
      </c>
      <c r="H306" s="188">
        <v>1.65</v>
      </c>
      <c r="I306" s="188">
        <v>8</v>
      </c>
      <c r="J306" s="226" t="s">
        <v>28</v>
      </c>
      <c r="K306" s="253">
        <f t="shared" ref="K306:K313" si="12">F306*G306*H306*I306</f>
        <v>0.66</v>
      </c>
    </row>
    <row r="307" spans="1:14" s="194" customFormat="1" ht="24.95" customHeight="1" x14ac:dyDescent="0.35">
      <c r="A307" s="189"/>
      <c r="B307" s="190"/>
      <c r="C307" s="192"/>
      <c r="D307" s="192"/>
      <c r="E307" s="193"/>
      <c r="F307" s="187">
        <v>0.2</v>
      </c>
      <c r="G307" s="188">
        <v>0.25</v>
      </c>
      <c r="H307" s="188">
        <v>1.625</v>
      </c>
      <c r="I307" s="188">
        <v>8</v>
      </c>
      <c r="J307" s="226" t="s">
        <v>28</v>
      </c>
      <c r="K307" s="253">
        <f t="shared" si="12"/>
        <v>0.65</v>
      </c>
    </row>
    <row r="308" spans="1:14" s="194" customFormat="1" ht="24.95" customHeight="1" x14ac:dyDescent="0.35">
      <c r="A308" s="189"/>
      <c r="B308" s="190"/>
      <c r="C308" s="192"/>
      <c r="D308" s="192"/>
      <c r="E308" s="193" t="s">
        <v>221</v>
      </c>
      <c r="F308" s="187">
        <v>0.2</v>
      </c>
      <c r="G308" s="188">
        <v>0.25</v>
      </c>
      <c r="H308" s="188">
        <v>2.75</v>
      </c>
      <c r="I308" s="188">
        <v>1</v>
      </c>
      <c r="J308" s="226" t="s">
        <v>28</v>
      </c>
      <c r="K308" s="253">
        <f t="shared" si="12"/>
        <v>0.13750000000000001</v>
      </c>
    </row>
    <row r="309" spans="1:14" s="194" customFormat="1" ht="24.95" customHeight="1" x14ac:dyDescent="0.35">
      <c r="A309" s="189"/>
      <c r="B309" s="190"/>
      <c r="C309" s="192"/>
      <c r="D309" s="192"/>
      <c r="E309" s="193" t="s">
        <v>221</v>
      </c>
      <c r="F309" s="187">
        <v>0.2</v>
      </c>
      <c r="G309" s="188">
        <v>0.25</v>
      </c>
      <c r="H309" s="188">
        <v>2.65</v>
      </c>
      <c r="I309" s="188">
        <v>1</v>
      </c>
      <c r="J309" s="226" t="s">
        <v>28</v>
      </c>
      <c r="K309" s="253">
        <f t="shared" si="12"/>
        <v>0.13250000000000001</v>
      </c>
    </row>
    <row r="310" spans="1:14" s="194" customFormat="1" ht="24.95" customHeight="1" x14ac:dyDescent="0.35">
      <c r="A310" s="189"/>
      <c r="B310" s="190"/>
      <c r="C310" s="192"/>
      <c r="D310" s="192"/>
      <c r="E310" s="193" t="s">
        <v>221</v>
      </c>
      <c r="F310" s="187">
        <v>0.2</v>
      </c>
      <c r="G310" s="188">
        <v>0.25</v>
      </c>
      <c r="H310" s="188">
        <v>2.625</v>
      </c>
      <c r="I310" s="188">
        <v>1</v>
      </c>
      <c r="J310" s="226" t="s">
        <v>28</v>
      </c>
      <c r="K310" s="253">
        <f t="shared" si="12"/>
        <v>0.13125000000000001</v>
      </c>
    </row>
    <row r="311" spans="1:14" s="194" customFormat="1" ht="24.95" customHeight="1" x14ac:dyDescent="0.35">
      <c r="A311" s="189"/>
      <c r="B311" s="190"/>
      <c r="C311" s="192"/>
      <c r="D311" s="192"/>
      <c r="E311" s="193" t="s">
        <v>221</v>
      </c>
      <c r="F311" s="187">
        <v>0.2</v>
      </c>
      <c r="G311" s="188">
        <v>0.25</v>
      </c>
      <c r="H311" s="188">
        <v>1.65</v>
      </c>
      <c r="I311" s="188">
        <v>1</v>
      </c>
      <c r="J311" s="226" t="s">
        <v>28</v>
      </c>
      <c r="K311" s="253">
        <f t="shared" si="12"/>
        <v>8.2500000000000004E-2</v>
      </c>
    </row>
    <row r="312" spans="1:14" s="194" customFormat="1" ht="24.95" customHeight="1" x14ac:dyDescent="0.35">
      <c r="A312" s="189"/>
      <c r="B312" s="190"/>
      <c r="C312" s="192"/>
      <c r="D312" s="192"/>
      <c r="E312" s="193" t="s">
        <v>221</v>
      </c>
      <c r="F312" s="187">
        <v>0.2</v>
      </c>
      <c r="G312" s="188">
        <v>0.25</v>
      </c>
      <c r="H312" s="188">
        <v>1.625</v>
      </c>
      <c r="I312" s="188">
        <v>1</v>
      </c>
      <c r="J312" s="226" t="s">
        <v>28</v>
      </c>
      <c r="K312" s="253">
        <f t="shared" si="12"/>
        <v>8.1250000000000003E-2</v>
      </c>
    </row>
    <row r="313" spans="1:14" s="194" customFormat="1" ht="24.95" customHeight="1" x14ac:dyDescent="0.35">
      <c r="A313" s="189"/>
      <c r="B313" s="190"/>
      <c r="C313" s="192"/>
      <c r="D313" s="192"/>
      <c r="E313" s="193" t="s">
        <v>221</v>
      </c>
      <c r="F313" s="187">
        <v>0.2</v>
      </c>
      <c r="G313" s="188">
        <v>0.25</v>
      </c>
      <c r="H313" s="188">
        <v>0.95</v>
      </c>
      <c r="I313" s="188">
        <v>2</v>
      </c>
      <c r="J313" s="226" t="s">
        <v>28</v>
      </c>
      <c r="K313" s="253">
        <f t="shared" si="12"/>
        <v>9.5000000000000001E-2</v>
      </c>
    </row>
    <row r="314" spans="1:14" s="175" customFormat="1" ht="24.95" customHeight="1" thickBot="1" x14ac:dyDescent="0.4">
      <c r="A314" s="211"/>
      <c r="B314" s="516" t="s">
        <v>189</v>
      </c>
      <c r="C314" s="517"/>
      <c r="D314" s="517"/>
      <c r="E314" s="517"/>
      <c r="F314" s="517"/>
      <c r="G314" s="517"/>
      <c r="H314" s="517"/>
      <c r="I314" s="517"/>
      <c r="J314" s="518"/>
      <c r="K314" s="254">
        <f>SUM(K306:K313)</f>
        <v>1.9700000000000002</v>
      </c>
      <c r="L314" s="174"/>
      <c r="N314" s="177"/>
    </row>
    <row r="315" spans="1:14" s="194" customFormat="1" ht="24.95" customHeight="1" x14ac:dyDescent="0.35">
      <c r="A315" s="189"/>
      <c r="B315" s="197">
        <v>11</v>
      </c>
      <c r="C315" s="192" t="e">
        <f>GEDUNG!#REF!</f>
        <v>#REF!</v>
      </c>
      <c r="D315" s="192"/>
      <c r="E315" s="193"/>
      <c r="F315" s="187"/>
      <c r="G315" s="188"/>
      <c r="H315" s="188"/>
      <c r="I315" s="188"/>
      <c r="J315" s="226"/>
      <c r="K315" s="253"/>
    </row>
    <row r="316" spans="1:14" s="194" customFormat="1" ht="24.95" customHeight="1" x14ac:dyDescent="0.35">
      <c r="A316" s="189"/>
      <c r="B316" s="190"/>
      <c r="C316" s="192"/>
      <c r="D316" s="192"/>
      <c r="E316" s="193"/>
      <c r="F316" s="187">
        <v>0.2</v>
      </c>
      <c r="G316" s="188">
        <v>0.6</v>
      </c>
      <c r="H316" s="188">
        <v>8.625</v>
      </c>
      <c r="I316" s="188">
        <v>2</v>
      </c>
      <c r="J316" s="226" t="s">
        <v>28</v>
      </c>
      <c r="K316" s="253">
        <f>F316*G316*H316*I316</f>
        <v>2.0699999999999998</v>
      </c>
    </row>
    <row r="317" spans="1:14" s="194" customFormat="1" ht="24.95" customHeight="1" x14ac:dyDescent="0.35">
      <c r="A317" s="189"/>
      <c r="B317" s="190"/>
      <c r="C317" s="192"/>
      <c r="D317" s="192"/>
      <c r="E317" s="193"/>
      <c r="F317" s="187">
        <v>0.2</v>
      </c>
      <c r="G317" s="188">
        <v>0.6</v>
      </c>
      <c r="H317" s="188">
        <v>7.625</v>
      </c>
      <c r="I317" s="188">
        <v>2</v>
      </c>
      <c r="J317" s="226" t="s">
        <v>28</v>
      </c>
      <c r="K317" s="253">
        <f>F317*G317*H317*I317</f>
        <v>1.8299999999999998</v>
      </c>
    </row>
    <row r="318" spans="1:14" s="175" customFormat="1" ht="24.95" customHeight="1" thickBot="1" x14ac:dyDescent="0.4">
      <c r="A318" s="211"/>
      <c r="B318" s="516" t="s">
        <v>189</v>
      </c>
      <c r="C318" s="517"/>
      <c r="D318" s="517"/>
      <c r="E318" s="517"/>
      <c r="F318" s="517"/>
      <c r="G318" s="517"/>
      <c r="H318" s="517"/>
      <c r="I318" s="517"/>
      <c r="J318" s="518"/>
      <c r="K318" s="254">
        <f>SUM(K316:K317)</f>
        <v>3.8999999999999995</v>
      </c>
      <c r="L318" s="174"/>
      <c r="N318" s="177"/>
    </row>
    <row r="319" spans="1:14" s="194" customFormat="1" ht="24.95" customHeight="1" x14ac:dyDescent="0.35">
      <c r="A319" s="189"/>
      <c r="B319" s="197">
        <v>12</v>
      </c>
      <c r="C319" s="192" t="str">
        <f>GEDUNG!D87</f>
        <v xml:space="preserve">Pek. Kolom Praktis (K.2) Uk. 11x11 </v>
      </c>
      <c r="D319" s="192"/>
      <c r="E319" s="193"/>
      <c r="F319" s="187"/>
      <c r="G319" s="188"/>
      <c r="H319" s="188"/>
      <c r="I319" s="188"/>
      <c r="J319" s="226"/>
      <c r="K319" s="253"/>
    </row>
    <row r="320" spans="1:14" s="194" customFormat="1" ht="24.95" customHeight="1" x14ac:dyDescent="0.35">
      <c r="A320" s="189"/>
      <c r="B320" s="190"/>
      <c r="C320" s="192"/>
      <c r="D320" s="192"/>
      <c r="E320" s="193"/>
      <c r="F320" s="187"/>
      <c r="G320" s="188"/>
      <c r="H320" s="188">
        <v>3.7</v>
      </c>
      <c r="I320" s="188">
        <v>12</v>
      </c>
      <c r="J320" s="226" t="s">
        <v>19</v>
      </c>
      <c r="K320" s="253">
        <f t="shared" ref="K320:K325" si="13">+H320*I320</f>
        <v>44.400000000000006</v>
      </c>
    </row>
    <row r="321" spans="1:14" s="194" customFormat="1" ht="24.95" customHeight="1" x14ac:dyDescent="0.35">
      <c r="A321" s="189"/>
      <c r="B321" s="190"/>
      <c r="C321" s="192"/>
      <c r="D321" s="192"/>
      <c r="E321" s="193"/>
      <c r="F321" s="187"/>
      <c r="G321" s="188"/>
      <c r="H321" s="188">
        <v>3.85</v>
      </c>
      <c r="I321" s="188">
        <v>4</v>
      </c>
      <c r="J321" s="226" t="s">
        <v>19</v>
      </c>
      <c r="K321" s="253">
        <f t="shared" si="13"/>
        <v>15.4</v>
      </c>
    </row>
    <row r="322" spans="1:14" s="194" customFormat="1" ht="24.95" customHeight="1" x14ac:dyDescent="0.35">
      <c r="A322" s="189"/>
      <c r="B322" s="190"/>
      <c r="C322" s="192"/>
      <c r="D322" s="192"/>
      <c r="E322" s="193"/>
      <c r="F322" s="187"/>
      <c r="G322" s="188"/>
      <c r="H322" s="188">
        <v>3.4</v>
      </c>
      <c r="I322" s="188">
        <v>1</v>
      </c>
      <c r="J322" s="226" t="s">
        <v>19</v>
      </c>
      <c r="K322" s="253">
        <f t="shared" si="13"/>
        <v>3.4</v>
      </c>
    </row>
    <row r="323" spans="1:14" s="194" customFormat="1" ht="24.95" customHeight="1" x14ac:dyDescent="0.35">
      <c r="A323" s="189"/>
      <c r="B323" s="190"/>
      <c r="C323" s="192"/>
      <c r="D323" s="192"/>
      <c r="E323" s="193"/>
      <c r="F323" s="187"/>
      <c r="G323" s="188"/>
      <c r="H323" s="188">
        <v>3.6</v>
      </c>
      <c r="I323" s="188">
        <v>2</v>
      </c>
      <c r="J323" s="226" t="s">
        <v>19</v>
      </c>
      <c r="K323" s="253">
        <f t="shared" si="13"/>
        <v>7.2</v>
      </c>
    </row>
    <row r="324" spans="1:14" s="194" customFormat="1" ht="24.95" customHeight="1" x14ac:dyDescent="0.35">
      <c r="A324" s="189"/>
      <c r="B324" s="190"/>
      <c r="C324" s="192"/>
      <c r="D324" s="192"/>
      <c r="E324" s="193"/>
      <c r="F324" s="187"/>
      <c r="G324" s="188"/>
      <c r="H324" s="188">
        <v>3.75</v>
      </c>
      <c r="I324" s="188">
        <v>1</v>
      </c>
      <c r="J324" s="226" t="s">
        <v>19</v>
      </c>
      <c r="K324" s="253">
        <f t="shared" si="13"/>
        <v>3.75</v>
      </c>
    </row>
    <row r="325" spans="1:14" s="194" customFormat="1" ht="24.95" customHeight="1" x14ac:dyDescent="0.35">
      <c r="A325" s="189"/>
      <c r="B325" s="190"/>
      <c r="C325" s="192"/>
      <c r="D325" s="192"/>
      <c r="E325" s="193"/>
      <c r="F325" s="187"/>
      <c r="G325" s="188"/>
      <c r="H325" s="188">
        <v>3.88</v>
      </c>
      <c r="I325" s="188">
        <v>3</v>
      </c>
      <c r="J325" s="226" t="s">
        <v>19</v>
      </c>
      <c r="K325" s="253">
        <f t="shared" si="13"/>
        <v>11.64</v>
      </c>
    </row>
    <row r="326" spans="1:14" s="175" customFormat="1" ht="24.95" customHeight="1" thickBot="1" x14ac:dyDescent="0.4">
      <c r="A326" s="211"/>
      <c r="B326" s="516" t="s">
        <v>189</v>
      </c>
      <c r="C326" s="517"/>
      <c r="D326" s="517"/>
      <c r="E326" s="517"/>
      <c r="F326" s="517"/>
      <c r="G326" s="517"/>
      <c r="H326" s="517"/>
      <c r="I326" s="517"/>
      <c r="J326" s="518"/>
      <c r="K326" s="254">
        <f>SUM(K320:K325)</f>
        <v>85.79</v>
      </c>
      <c r="L326" s="174"/>
      <c r="N326" s="177"/>
    </row>
    <row r="327" spans="1:14" s="194" customFormat="1" ht="24.95" customHeight="1" x14ac:dyDescent="0.35">
      <c r="A327" s="189"/>
      <c r="B327" s="197">
        <v>13</v>
      </c>
      <c r="C327" s="192" t="str">
        <f>GEDUNG!D89</f>
        <v>Pek. Balok Pinggang Uk. 10x15 cm Beton fc. 14,5 Mpa</v>
      </c>
      <c r="D327" s="192"/>
      <c r="E327" s="193"/>
      <c r="F327" s="187"/>
      <c r="G327" s="188"/>
      <c r="H327" s="188"/>
      <c r="I327" s="188"/>
      <c r="J327" s="226"/>
      <c r="K327" s="253"/>
    </row>
    <row r="328" spans="1:14" s="194" customFormat="1" ht="24.95" customHeight="1" x14ac:dyDescent="0.35">
      <c r="A328" s="189"/>
      <c r="B328" s="197"/>
      <c r="C328" s="192"/>
      <c r="D328" s="192"/>
      <c r="E328" s="193"/>
      <c r="F328" s="187">
        <v>0.87</v>
      </c>
      <c r="G328" s="188">
        <v>0.1</v>
      </c>
      <c r="H328" s="188">
        <v>0.15</v>
      </c>
      <c r="I328" s="188">
        <v>4</v>
      </c>
      <c r="J328" s="226" t="s">
        <v>28</v>
      </c>
      <c r="K328" s="188">
        <f t="shared" ref="K328:K335" si="14">F328*G328*H328*I328</f>
        <v>5.2200000000000003E-2</v>
      </c>
    </row>
    <row r="329" spans="1:14" s="194" customFormat="1" ht="24.95" customHeight="1" x14ac:dyDescent="0.35">
      <c r="A329" s="189"/>
      <c r="B329" s="197"/>
      <c r="C329" s="192"/>
      <c r="D329" s="192"/>
      <c r="E329" s="193"/>
      <c r="F329" s="187">
        <v>1.63</v>
      </c>
      <c r="G329" s="188">
        <v>0.1</v>
      </c>
      <c r="H329" s="188">
        <v>0.15</v>
      </c>
      <c r="I329" s="188">
        <v>2</v>
      </c>
      <c r="J329" s="226" t="s">
        <v>28</v>
      </c>
      <c r="K329" s="188">
        <f t="shared" si="14"/>
        <v>4.8899999999999999E-2</v>
      </c>
    </row>
    <row r="330" spans="1:14" s="194" customFormat="1" ht="24.95" customHeight="1" x14ac:dyDescent="0.35">
      <c r="A330" s="189"/>
      <c r="B330" s="197"/>
      <c r="C330" s="192"/>
      <c r="D330" s="192"/>
      <c r="E330" s="193"/>
      <c r="F330" s="187">
        <v>0.76</v>
      </c>
      <c r="G330" s="188">
        <v>0.1</v>
      </c>
      <c r="H330" s="188">
        <v>0.15</v>
      </c>
      <c r="I330" s="188">
        <v>4</v>
      </c>
      <c r="J330" s="226" t="s">
        <v>28</v>
      </c>
      <c r="K330" s="188">
        <f t="shared" si="14"/>
        <v>4.5600000000000009E-2</v>
      </c>
    </row>
    <row r="331" spans="1:14" s="194" customFormat="1" ht="24.95" customHeight="1" x14ac:dyDescent="0.35">
      <c r="A331" s="189"/>
      <c r="B331" s="197"/>
      <c r="C331" s="192"/>
      <c r="D331" s="192"/>
      <c r="E331" s="193"/>
      <c r="F331" s="187">
        <v>3.87</v>
      </c>
      <c r="G331" s="188">
        <v>0.1</v>
      </c>
      <c r="H331" s="188">
        <v>0.15</v>
      </c>
      <c r="I331" s="188">
        <v>2</v>
      </c>
      <c r="J331" s="226" t="s">
        <v>28</v>
      </c>
      <c r="K331" s="188">
        <f t="shared" si="14"/>
        <v>0.11609999999999999</v>
      </c>
    </row>
    <row r="332" spans="1:14" s="194" customFormat="1" ht="24.95" customHeight="1" x14ac:dyDescent="0.35">
      <c r="A332" s="189"/>
      <c r="B332" s="197"/>
      <c r="C332" s="192"/>
      <c r="D332" s="192"/>
      <c r="E332" s="193"/>
      <c r="F332" s="187">
        <v>3.65</v>
      </c>
      <c r="G332" s="188">
        <v>0.1</v>
      </c>
      <c r="H332" s="188">
        <v>0.15</v>
      </c>
      <c r="I332" s="188">
        <v>5</v>
      </c>
      <c r="J332" s="226" t="s">
        <v>28</v>
      </c>
      <c r="K332" s="188">
        <f t="shared" si="14"/>
        <v>0.27374999999999999</v>
      </c>
    </row>
    <row r="333" spans="1:14" s="194" customFormat="1" ht="24.95" customHeight="1" x14ac:dyDescent="0.35">
      <c r="A333" s="189"/>
      <c r="B333" s="197"/>
      <c r="C333" s="192"/>
      <c r="D333" s="192"/>
      <c r="E333" s="193"/>
      <c r="F333" s="187">
        <v>3.63</v>
      </c>
      <c r="G333" s="188">
        <v>0.1</v>
      </c>
      <c r="H333" s="188">
        <v>0.15</v>
      </c>
      <c r="I333" s="188">
        <v>4</v>
      </c>
      <c r="J333" s="226" t="s">
        <v>28</v>
      </c>
      <c r="K333" s="188">
        <f t="shared" si="14"/>
        <v>0.21779999999999999</v>
      </c>
    </row>
    <row r="334" spans="1:14" s="194" customFormat="1" ht="24.95" customHeight="1" x14ac:dyDescent="0.35">
      <c r="A334" s="189"/>
      <c r="B334" s="197"/>
      <c r="C334" s="192"/>
      <c r="D334" s="192"/>
      <c r="E334" s="193"/>
      <c r="F334" s="187">
        <v>2.63</v>
      </c>
      <c r="G334" s="188">
        <v>0.1</v>
      </c>
      <c r="H334" s="188">
        <v>0.15</v>
      </c>
      <c r="I334" s="188">
        <v>6</v>
      </c>
      <c r="J334" s="226" t="s">
        <v>28</v>
      </c>
      <c r="K334" s="188">
        <f t="shared" si="14"/>
        <v>0.23669999999999999</v>
      </c>
    </row>
    <row r="335" spans="1:14" s="194" customFormat="1" ht="24.95" customHeight="1" x14ac:dyDescent="0.35">
      <c r="A335" s="189"/>
      <c r="B335" s="197"/>
      <c r="C335" s="192"/>
      <c r="D335" s="192"/>
      <c r="E335" s="193"/>
      <c r="F335" s="187">
        <v>2.6</v>
      </c>
      <c r="G335" s="188">
        <v>0.1</v>
      </c>
      <c r="H335" s="188">
        <v>0.15</v>
      </c>
      <c r="I335" s="188">
        <v>4</v>
      </c>
      <c r="J335" s="226" t="s">
        <v>28</v>
      </c>
      <c r="K335" s="188">
        <f t="shared" si="14"/>
        <v>0.156</v>
      </c>
    </row>
    <row r="336" spans="1:14" s="175" customFormat="1" ht="24.95" customHeight="1" thickBot="1" x14ac:dyDescent="0.4">
      <c r="A336" s="211"/>
      <c r="B336" s="516" t="s">
        <v>189</v>
      </c>
      <c r="C336" s="517"/>
      <c r="D336" s="517"/>
      <c r="E336" s="517"/>
      <c r="F336" s="517"/>
      <c r="G336" s="517"/>
      <c r="H336" s="517"/>
      <c r="I336" s="517"/>
      <c r="J336" s="518"/>
      <c r="K336" s="254">
        <f>SUM(K328:K335)</f>
        <v>1.1470499999999999</v>
      </c>
      <c r="L336" s="174"/>
      <c r="N336" s="177"/>
    </row>
    <row r="337" spans="1:12" s="194" customFormat="1" ht="24.95" customHeight="1" x14ac:dyDescent="0.35">
      <c r="A337" s="195" t="s">
        <v>60</v>
      </c>
      <c r="B337" s="201" t="str">
        <f>GEDUNG!D92</f>
        <v>PEKERJAAN PASANGAN DAN PLASTERAN</v>
      </c>
      <c r="C337" s="192"/>
      <c r="D337" s="192"/>
      <c r="E337" s="193"/>
      <c r="F337" s="187"/>
      <c r="G337" s="188"/>
      <c r="H337" s="188"/>
      <c r="I337" s="188"/>
      <c r="J337" s="226"/>
      <c r="K337" s="188"/>
    </row>
    <row r="338" spans="1:12" s="194" customFormat="1" ht="24.95" customHeight="1" x14ac:dyDescent="0.35">
      <c r="A338" s="195"/>
      <c r="B338" s="201" t="str">
        <f>GEDUNG!D93</f>
        <v>LANTAI I</v>
      </c>
      <c r="C338" s="192"/>
      <c r="D338" s="192"/>
      <c r="E338" s="193"/>
      <c r="F338" s="187"/>
      <c r="G338" s="188"/>
      <c r="H338" s="188"/>
      <c r="I338" s="188"/>
      <c r="J338" s="226"/>
      <c r="K338" s="188"/>
    </row>
    <row r="339" spans="1:12" s="194" customFormat="1" ht="24.95" customHeight="1" x14ac:dyDescent="0.35">
      <c r="A339" s="189"/>
      <c r="B339" s="197">
        <v>1</v>
      </c>
      <c r="C339" s="192" t="str">
        <f>GEDUNG!D94</f>
        <v>Pek. Pas. Dinding Batu Bata ad. 1 : 4</v>
      </c>
      <c r="D339" s="192"/>
      <c r="E339" s="193"/>
      <c r="F339" s="187"/>
      <c r="G339" s="188"/>
      <c r="H339" s="188"/>
      <c r="I339" s="188"/>
      <c r="J339" s="226"/>
      <c r="K339" s="188"/>
    </row>
    <row r="340" spans="1:12" s="194" customFormat="1" ht="27.75" customHeight="1" x14ac:dyDescent="0.35">
      <c r="A340" s="189"/>
      <c r="B340" s="190"/>
      <c r="C340" s="192"/>
      <c r="D340" s="192"/>
      <c r="E340" s="250" t="s">
        <v>227</v>
      </c>
      <c r="F340" s="187"/>
      <c r="G340" s="188">
        <v>5.4625000000000004</v>
      </c>
      <c r="H340" s="188"/>
      <c r="I340" s="188">
        <v>2</v>
      </c>
      <c r="J340" s="226" t="s">
        <v>26</v>
      </c>
      <c r="K340" s="188">
        <f>G340*I340</f>
        <v>10.925000000000001</v>
      </c>
    </row>
    <row r="341" spans="1:12" s="237" customFormat="1" ht="27.75" customHeight="1" x14ac:dyDescent="0.35">
      <c r="A341" s="235"/>
      <c r="B341" s="238"/>
      <c r="C341" s="236"/>
      <c r="D341" s="236"/>
      <c r="E341" s="250" t="s">
        <v>228</v>
      </c>
      <c r="F341" s="187"/>
      <c r="G341" s="188">
        <v>4.375</v>
      </c>
      <c r="H341" s="188"/>
      <c r="I341" s="188">
        <v>1</v>
      </c>
      <c r="J341" s="226" t="s">
        <v>26</v>
      </c>
      <c r="K341" s="188">
        <f>G341*I341</f>
        <v>4.375</v>
      </c>
      <c r="L341" s="194"/>
    </row>
    <row r="342" spans="1:12" s="194" customFormat="1" ht="27.75" customHeight="1" x14ac:dyDescent="0.35">
      <c r="A342" s="189"/>
      <c r="B342" s="190"/>
      <c r="C342" s="192"/>
      <c r="D342" s="192"/>
      <c r="E342" s="250" t="s">
        <v>229</v>
      </c>
      <c r="F342" s="187"/>
      <c r="G342" s="188">
        <v>10.7925</v>
      </c>
      <c r="H342" s="188"/>
      <c r="I342" s="188">
        <v>1</v>
      </c>
      <c r="J342" s="226" t="s">
        <v>26</v>
      </c>
      <c r="K342" s="188">
        <f>G342*I342</f>
        <v>10.7925</v>
      </c>
    </row>
    <row r="343" spans="1:12" s="237" customFormat="1" ht="27.75" customHeight="1" x14ac:dyDescent="0.35">
      <c r="A343" s="235"/>
      <c r="B343" s="238"/>
      <c r="C343" s="236"/>
      <c r="D343" s="236"/>
      <c r="E343" s="250" t="s">
        <v>230</v>
      </c>
      <c r="F343" s="187"/>
      <c r="G343" s="188">
        <v>46.782699999999998</v>
      </c>
      <c r="H343" s="188"/>
      <c r="I343" s="188">
        <v>1</v>
      </c>
      <c r="J343" s="226" t="s">
        <v>26</v>
      </c>
      <c r="K343" s="249">
        <f>G343*I343</f>
        <v>46.782699999999998</v>
      </c>
      <c r="L343" s="194"/>
    </row>
    <row r="344" spans="1:12" s="237" customFormat="1" ht="27.75" customHeight="1" x14ac:dyDescent="0.35">
      <c r="A344" s="235"/>
      <c r="B344" s="238"/>
      <c r="C344" s="236"/>
      <c r="D344" s="236"/>
      <c r="E344" s="250" t="s">
        <v>231</v>
      </c>
      <c r="F344" s="187"/>
      <c r="G344" s="188">
        <v>2.67</v>
      </c>
      <c r="H344" s="188">
        <v>2.09</v>
      </c>
      <c r="I344" s="188">
        <v>1</v>
      </c>
      <c r="J344" s="226" t="s">
        <v>26</v>
      </c>
      <c r="K344" s="188">
        <f>G344*H344*I344</f>
        <v>5.5802999999999994</v>
      </c>
      <c r="L344" s="194"/>
    </row>
    <row r="345" spans="1:12" s="237" customFormat="1" ht="27.75" customHeight="1" x14ac:dyDescent="0.35">
      <c r="A345" s="235"/>
      <c r="B345" s="238"/>
      <c r="C345" s="236"/>
      <c r="D345" s="236"/>
      <c r="E345" s="250" t="s">
        <v>232</v>
      </c>
      <c r="F345" s="187"/>
      <c r="G345" s="188">
        <v>65.739999999999995</v>
      </c>
      <c r="H345" s="188"/>
      <c r="I345" s="188">
        <v>1</v>
      </c>
      <c r="J345" s="226" t="s">
        <v>26</v>
      </c>
      <c r="K345" s="188">
        <f t="shared" ref="K345:K352" si="15">G345*I345</f>
        <v>65.739999999999995</v>
      </c>
      <c r="L345" s="194"/>
    </row>
    <row r="346" spans="1:12" s="237" customFormat="1" ht="27.75" customHeight="1" x14ac:dyDescent="0.35">
      <c r="A346" s="235"/>
      <c r="B346" s="238"/>
      <c r="C346" s="236"/>
      <c r="D346" s="236"/>
      <c r="E346" s="250" t="s">
        <v>233</v>
      </c>
      <c r="F346" s="187"/>
      <c r="G346" s="188">
        <v>45.045299999999997</v>
      </c>
      <c r="H346" s="188"/>
      <c r="I346" s="188">
        <v>1</v>
      </c>
      <c r="J346" s="226" t="s">
        <v>26</v>
      </c>
      <c r="K346" s="188">
        <f t="shared" si="15"/>
        <v>45.045299999999997</v>
      </c>
      <c r="L346" s="194"/>
    </row>
    <row r="347" spans="1:12" s="237" customFormat="1" ht="27.75" customHeight="1" x14ac:dyDescent="0.35">
      <c r="A347" s="235"/>
      <c r="B347" s="238"/>
      <c r="C347" s="236"/>
      <c r="D347" s="236"/>
      <c r="E347" s="250" t="s">
        <v>234</v>
      </c>
      <c r="F347" s="187"/>
      <c r="G347" s="188">
        <v>9.8375000000000004</v>
      </c>
      <c r="H347" s="188"/>
      <c r="I347" s="188">
        <v>1</v>
      </c>
      <c r="J347" s="226" t="s">
        <v>26</v>
      </c>
      <c r="K347" s="188">
        <f t="shared" si="15"/>
        <v>9.8375000000000004</v>
      </c>
      <c r="L347" s="194"/>
    </row>
    <row r="348" spans="1:12" s="237" customFormat="1" ht="27.75" customHeight="1" x14ac:dyDescent="0.35">
      <c r="A348" s="235"/>
      <c r="B348" s="238"/>
      <c r="C348" s="236"/>
      <c r="D348" s="236"/>
      <c r="E348" s="250" t="s">
        <v>235</v>
      </c>
      <c r="F348" s="187"/>
      <c r="G348" s="188">
        <v>48.181199999999997</v>
      </c>
      <c r="H348" s="188"/>
      <c r="I348" s="188">
        <v>1</v>
      </c>
      <c r="J348" s="226" t="s">
        <v>26</v>
      </c>
      <c r="K348" s="188">
        <f t="shared" si="15"/>
        <v>48.181199999999997</v>
      </c>
      <c r="L348" s="194"/>
    </row>
    <row r="349" spans="1:12" s="237" customFormat="1" ht="27.75" customHeight="1" x14ac:dyDescent="0.35">
      <c r="A349" s="235"/>
      <c r="B349" s="238"/>
      <c r="C349" s="236"/>
      <c r="D349" s="236"/>
      <c r="E349" s="250" t="s">
        <v>236</v>
      </c>
      <c r="F349" s="187"/>
      <c r="G349" s="188">
        <v>11.887499999999999</v>
      </c>
      <c r="H349" s="188"/>
      <c r="I349" s="188">
        <v>1</v>
      </c>
      <c r="J349" s="226" t="s">
        <v>26</v>
      </c>
      <c r="K349" s="188">
        <f t="shared" si="15"/>
        <v>11.887499999999999</v>
      </c>
    </row>
    <row r="350" spans="1:12" s="237" customFormat="1" ht="27.75" customHeight="1" x14ac:dyDescent="0.35">
      <c r="A350" s="235"/>
      <c r="B350" s="238"/>
      <c r="C350" s="236"/>
      <c r="D350" s="236"/>
      <c r="E350" s="250" t="s">
        <v>237</v>
      </c>
      <c r="F350" s="187"/>
      <c r="G350" s="188">
        <v>65.863</v>
      </c>
      <c r="H350" s="188"/>
      <c r="I350" s="188">
        <v>1</v>
      </c>
      <c r="J350" s="226" t="s">
        <v>26</v>
      </c>
      <c r="K350" s="188">
        <f t="shared" si="15"/>
        <v>65.863</v>
      </c>
    </row>
    <row r="351" spans="1:12" s="237" customFormat="1" ht="27.75" customHeight="1" x14ac:dyDescent="0.35">
      <c r="A351" s="235"/>
      <c r="B351" s="238"/>
      <c r="C351" s="236"/>
      <c r="D351" s="236"/>
      <c r="E351" s="250" t="s">
        <v>238</v>
      </c>
      <c r="F351" s="187"/>
      <c r="G351" s="188">
        <v>7.3864999999999998</v>
      </c>
      <c r="H351" s="188"/>
      <c r="I351" s="188">
        <v>1</v>
      </c>
      <c r="J351" s="226" t="s">
        <v>26</v>
      </c>
      <c r="K351" s="188">
        <f t="shared" si="15"/>
        <v>7.3864999999999998</v>
      </c>
    </row>
    <row r="352" spans="1:12" s="237" customFormat="1" ht="27.75" customHeight="1" x14ac:dyDescent="0.35">
      <c r="A352" s="235"/>
      <c r="B352" s="238"/>
      <c r="C352" s="236"/>
      <c r="D352" s="236"/>
      <c r="E352" s="250" t="s">
        <v>239</v>
      </c>
      <c r="F352" s="187"/>
      <c r="G352" s="188">
        <v>4.1562999999999999</v>
      </c>
      <c r="H352" s="188"/>
      <c r="I352" s="188">
        <v>2</v>
      </c>
      <c r="J352" s="226" t="s">
        <v>26</v>
      </c>
      <c r="K352" s="188">
        <f t="shared" si="15"/>
        <v>8.3125999999999998</v>
      </c>
    </row>
    <row r="353" spans="1:14" s="237" customFormat="1" ht="27.75" customHeight="1" x14ac:dyDescent="0.35">
      <c r="A353" s="235"/>
      <c r="B353" s="238"/>
      <c r="C353" s="236"/>
      <c r="D353" s="236"/>
      <c r="E353" s="250" t="s">
        <v>240</v>
      </c>
      <c r="F353" s="187"/>
      <c r="G353" s="188">
        <v>1.37</v>
      </c>
      <c r="H353" s="188">
        <v>4.05</v>
      </c>
      <c r="I353" s="188">
        <v>2</v>
      </c>
      <c r="J353" s="226" t="s">
        <v>26</v>
      </c>
      <c r="K353" s="188">
        <f>G353*H353*I353</f>
        <v>11.097</v>
      </c>
    </row>
    <row r="354" spans="1:14" s="237" customFormat="1" ht="27.75" customHeight="1" x14ac:dyDescent="0.35">
      <c r="A354" s="235"/>
      <c r="B354" s="238"/>
      <c r="C354" s="236"/>
      <c r="D354" s="236"/>
      <c r="E354" s="250" t="s">
        <v>241</v>
      </c>
      <c r="F354" s="187"/>
      <c r="G354" s="188">
        <f>0.87+0.26</f>
        <v>1.1299999999999999</v>
      </c>
      <c r="H354" s="188">
        <v>3.88</v>
      </c>
      <c r="I354" s="188">
        <v>1</v>
      </c>
      <c r="J354" s="226" t="s">
        <v>26</v>
      </c>
      <c r="K354" s="188">
        <f t="shared" ref="K354:K359" si="16">G354*H354*I354</f>
        <v>4.3843999999999994</v>
      </c>
    </row>
    <row r="355" spans="1:14" s="237" customFormat="1" ht="27.75" customHeight="1" x14ac:dyDescent="0.35">
      <c r="A355" s="235"/>
      <c r="B355" s="238"/>
      <c r="C355" s="236"/>
      <c r="D355" s="236"/>
      <c r="E355" s="250" t="s">
        <v>242</v>
      </c>
      <c r="F355" s="187"/>
      <c r="G355" s="188">
        <v>0.87</v>
      </c>
      <c r="H355" s="188">
        <v>4.05</v>
      </c>
      <c r="I355" s="188">
        <v>1</v>
      </c>
      <c r="J355" s="226" t="s">
        <v>26</v>
      </c>
      <c r="K355" s="188">
        <f t="shared" si="16"/>
        <v>3.5234999999999999</v>
      </c>
    </row>
    <row r="356" spans="1:14" s="237" customFormat="1" ht="27.75" customHeight="1" x14ac:dyDescent="0.35">
      <c r="A356" s="235"/>
      <c r="B356" s="238"/>
      <c r="C356" s="236"/>
      <c r="D356" s="236"/>
      <c r="E356" s="250" t="s">
        <v>243</v>
      </c>
      <c r="F356" s="187"/>
      <c r="G356" s="188">
        <f>2.37+0.37</f>
        <v>2.74</v>
      </c>
      <c r="H356" s="188">
        <v>3.88</v>
      </c>
      <c r="I356" s="188">
        <v>1</v>
      </c>
      <c r="J356" s="226" t="s">
        <v>26</v>
      </c>
      <c r="K356" s="188">
        <f t="shared" si="16"/>
        <v>10.6312</v>
      </c>
    </row>
    <row r="357" spans="1:14" s="237" customFormat="1" ht="27.75" customHeight="1" x14ac:dyDescent="0.35">
      <c r="A357" s="235"/>
      <c r="B357" s="238"/>
      <c r="C357" s="236"/>
      <c r="D357" s="236"/>
      <c r="E357" s="250" t="s">
        <v>244</v>
      </c>
      <c r="F357" s="187"/>
      <c r="G357" s="188">
        <f>0.26+0.87+1.26</f>
        <v>2.3899999999999997</v>
      </c>
      <c r="H357" s="188">
        <v>3.88</v>
      </c>
      <c r="I357" s="188">
        <v>1</v>
      </c>
      <c r="J357" s="226" t="s">
        <v>26</v>
      </c>
      <c r="K357" s="188">
        <f t="shared" si="16"/>
        <v>9.2731999999999992</v>
      </c>
    </row>
    <row r="358" spans="1:14" s="237" customFormat="1" ht="27.75" customHeight="1" x14ac:dyDescent="0.35">
      <c r="A358" s="235"/>
      <c r="B358" s="238"/>
      <c r="C358" s="236"/>
      <c r="D358" s="236"/>
      <c r="E358" s="250" t="s">
        <v>245</v>
      </c>
      <c r="F358" s="187"/>
      <c r="G358" s="188">
        <f>0.87+0.37</f>
        <v>1.24</v>
      </c>
      <c r="H358" s="188">
        <v>4.04</v>
      </c>
      <c r="I358" s="188">
        <v>1</v>
      </c>
      <c r="J358" s="226" t="s">
        <v>26</v>
      </c>
      <c r="K358" s="188">
        <f t="shared" si="16"/>
        <v>5.0095999999999998</v>
      </c>
    </row>
    <row r="359" spans="1:14" s="237" customFormat="1" ht="27.75" customHeight="1" x14ac:dyDescent="0.35">
      <c r="A359" s="235"/>
      <c r="B359" s="238"/>
      <c r="C359" s="236"/>
      <c r="D359" s="236"/>
      <c r="E359" s="250" t="s">
        <v>246</v>
      </c>
      <c r="F359" s="187"/>
      <c r="G359" s="188">
        <v>0.76</v>
      </c>
      <c r="H359" s="188">
        <v>3.88</v>
      </c>
      <c r="I359" s="188">
        <v>1</v>
      </c>
      <c r="J359" s="226" t="s">
        <v>26</v>
      </c>
      <c r="K359" s="188">
        <f t="shared" si="16"/>
        <v>2.9487999999999999</v>
      </c>
    </row>
    <row r="360" spans="1:14" s="237" customFormat="1" ht="27.75" customHeight="1" x14ac:dyDescent="0.35">
      <c r="A360" s="235"/>
      <c r="B360" s="238"/>
      <c r="C360" s="236"/>
      <c r="D360" s="236"/>
      <c r="E360" s="250" t="s">
        <v>249</v>
      </c>
      <c r="F360" s="187"/>
      <c r="G360" s="188">
        <v>3.65</v>
      </c>
      <c r="H360" s="188">
        <v>1</v>
      </c>
      <c r="I360" s="188">
        <v>2</v>
      </c>
      <c r="J360" s="226" t="s">
        <v>26</v>
      </c>
      <c r="K360" s="188">
        <f>G360*H360*I360</f>
        <v>7.3</v>
      </c>
    </row>
    <row r="361" spans="1:14" s="237" customFormat="1" ht="27.75" customHeight="1" x14ac:dyDescent="0.35">
      <c r="A361" s="235"/>
      <c r="B361" s="238"/>
      <c r="C361" s="236"/>
      <c r="D361" s="236"/>
      <c r="E361" s="250" t="s">
        <v>250</v>
      </c>
      <c r="F361" s="187"/>
      <c r="G361" s="188">
        <v>1.65</v>
      </c>
      <c r="H361" s="188">
        <v>1</v>
      </c>
      <c r="I361" s="188">
        <v>2</v>
      </c>
      <c r="J361" s="226" t="s">
        <v>26</v>
      </c>
      <c r="K361" s="188">
        <f>G361*H361*I361</f>
        <v>3.3</v>
      </c>
    </row>
    <row r="362" spans="1:14" s="175" customFormat="1" ht="24.95" customHeight="1" thickBot="1" x14ac:dyDescent="0.4">
      <c r="A362" s="211"/>
      <c r="B362" s="516" t="s">
        <v>189</v>
      </c>
      <c r="C362" s="517"/>
      <c r="D362" s="517"/>
      <c r="E362" s="517"/>
      <c r="F362" s="517"/>
      <c r="G362" s="517"/>
      <c r="H362" s="517"/>
      <c r="I362" s="517"/>
      <c r="J362" s="518"/>
      <c r="K362" s="210">
        <f>SUM(K340:K361)</f>
        <v>398.1767999999999</v>
      </c>
      <c r="L362" s="176">
        <f>K362*2</f>
        <v>796.3535999999998</v>
      </c>
      <c r="M362" s="174"/>
      <c r="N362" s="177"/>
    </row>
    <row r="363" spans="1:14" s="194" customFormat="1" ht="24.95" customHeight="1" x14ac:dyDescent="0.35">
      <c r="A363" s="189"/>
      <c r="B363" s="197">
        <v>2</v>
      </c>
      <c r="C363" s="192" t="e">
        <f>GEDUNG!#REF!</f>
        <v>#REF!</v>
      </c>
      <c r="D363" s="192"/>
      <c r="E363" s="193"/>
      <c r="F363" s="187"/>
      <c r="G363" s="188"/>
      <c r="H363" s="188"/>
      <c r="I363" s="188"/>
      <c r="J363" s="226"/>
      <c r="K363" s="188"/>
    </row>
    <row r="364" spans="1:14" s="194" customFormat="1" ht="24.95" customHeight="1" x14ac:dyDescent="0.35">
      <c r="A364" s="189"/>
      <c r="B364" s="190"/>
      <c r="C364" s="192"/>
      <c r="D364" s="192"/>
      <c r="E364" s="193" t="s">
        <v>195</v>
      </c>
      <c r="F364" s="187"/>
      <c r="G364" s="188">
        <v>9.32</v>
      </c>
      <c r="H364" s="188">
        <v>1.3</v>
      </c>
      <c r="I364" s="188">
        <v>1</v>
      </c>
      <c r="J364" s="226" t="s">
        <v>19</v>
      </c>
      <c r="K364" s="188">
        <f>G364*H364*I364</f>
        <v>12.116000000000001</v>
      </c>
    </row>
    <row r="365" spans="1:14" s="194" customFormat="1" ht="24.95" customHeight="1" x14ac:dyDescent="0.35">
      <c r="A365" s="189"/>
      <c r="B365" s="190"/>
      <c r="C365" s="192"/>
      <c r="D365" s="192"/>
      <c r="E365" s="193" t="s">
        <v>195</v>
      </c>
      <c r="F365" s="187"/>
      <c r="G365" s="188">
        <v>2.46</v>
      </c>
      <c r="H365" s="188">
        <v>1.3</v>
      </c>
      <c r="I365" s="188">
        <v>1</v>
      </c>
      <c r="J365" s="226" t="s">
        <v>19</v>
      </c>
      <c r="K365" s="188">
        <f>G365*H365*I365</f>
        <v>3.198</v>
      </c>
    </row>
    <row r="366" spans="1:14" s="194" customFormat="1" ht="24.95" customHeight="1" x14ac:dyDescent="0.35">
      <c r="A366" s="189"/>
      <c r="B366" s="190"/>
      <c r="C366" s="192"/>
      <c r="D366" s="192"/>
      <c r="E366" s="193" t="s">
        <v>196</v>
      </c>
      <c r="F366" s="187"/>
      <c r="G366" s="188">
        <f>1.26+3.37</f>
        <v>4.63</v>
      </c>
      <c r="H366" s="188">
        <v>1.5</v>
      </c>
      <c r="I366" s="188">
        <v>1</v>
      </c>
      <c r="J366" s="226" t="s">
        <v>19</v>
      </c>
      <c r="K366" s="188">
        <f>G366*H366*I366</f>
        <v>6.9450000000000003</v>
      </c>
    </row>
    <row r="367" spans="1:14" s="194" customFormat="1" ht="24.95" customHeight="1" x14ac:dyDescent="0.35">
      <c r="A367" s="189"/>
      <c r="B367" s="190"/>
      <c r="C367" s="192"/>
      <c r="D367" s="192"/>
      <c r="E367" s="193" t="s">
        <v>254</v>
      </c>
      <c r="F367" s="187"/>
      <c r="G367" s="188">
        <v>0.93</v>
      </c>
      <c r="H367" s="188">
        <v>0.7</v>
      </c>
      <c r="I367" s="188">
        <v>4</v>
      </c>
      <c r="J367" s="226" t="s">
        <v>19</v>
      </c>
      <c r="K367" s="188">
        <f>G367*I367</f>
        <v>3.72</v>
      </c>
    </row>
    <row r="368" spans="1:14" s="194" customFormat="1" ht="24.95" customHeight="1" thickBot="1" x14ac:dyDescent="0.4">
      <c r="A368" s="189"/>
      <c r="B368" s="516" t="s">
        <v>189</v>
      </c>
      <c r="C368" s="517"/>
      <c r="D368" s="517"/>
      <c r="E368" s="517"/>
      <c r="F368" s="517"/>
      <c r="G368" s="517"/>
      <c r="H368" s="517"/>
      <c r="I368" s="517"/>
      <c r="J368" s="518"/>
      <c r="K368" s="213">
        <f>SUM(K364:K367)</f>
        <v>25.978999999999999</v>
      </c>
    </row>
    <row r="369" spans="1:12" s="194" customFormat="1" ht="24.95" customHeight="1" x14ac:dyDescent="0.35">
      <c r="A369" s="189"/>
      <c r="B369" s="197">
        <v>3</v>
      </c>
      <c r="C369" s="192" t="e">
        <f>GEDUNG!#REF!</f>
        <v>#REF!</v>
      </c>
      <c r="D369" s="192"/>
      <c r="E369" s="193"/>
      <c r="F369" s="187"/>
      <c r="G369" s="188"/>
      <c r="H369" s="188"/>
      <c r="I369" s="188"/>
      <c r="J369" s="226"/>
      <c r="K369" s="188"/>
    </row>
    <row r="370" spans="1:12" s="194" customFormat="1" ht="24.95" customHeight="1" x14ac:dyDescent="0.35">
      <c r="A370" s="189"/>
      <c r="B370" s="190"/>
      <c r="C370" s="192"/>
      <c r="D370" s="192"/>
      <c r="E370" s="193" t="s">
        <v>255</v>
      </c>
      <c r="F370" s="187"/>
      <c r="G370" s="187">
        <v>23</v>
      </c>
      <c r="H370" s="188">
        <v>0.4</v>
      </c>
      <c r="I370" s="188">
        <v>2</v>
      </c>
      <c r="J370" s="226" t="s">
        <v>19</v>
      </c>
      <c r="K370" s="188">
        <f>G370*H370*I370</f>
        <v>18.400000000000002</v>
      </c>
    </row>
    <row r="371" spans="1:12" s="194" customFormat="1" ht="24.95" customHeight="1" x14ac:dyDescent="0.35">
      <c r="A371" s="189"/>
      <c r="B371" s="190"/>
      <c r="C371" s="192"/>
      <c r="D371" s="192"/>
      <c r="E371" s="193"/>
      <c r="F371" s="187"/>
      <c r="G371" s="187">
        <v>9.93</v>
      </c>
      <c r="H371" s="188">
        <v>0.4</v>
      </c>
      <c r="I371" s="188">
        <v>1</v>
      </c>
      <c r="J371" s="226" t="s">
        <v>19</v>
      </c>
      <c r="K371" s="188">
        <f>G371*H371*I371</f>
        <v>3.972</v>
      </c>
    </row>
    <row r="372" spans="1:12" s="194" customFormat="1" ht="24.95" customHeight="1" x14ac:dyDescent="0.35">
      <c r="A372" s="189"/>
      <c r="B372" s="190"/>
      <c r="C372" s="192"/>
      <c r="D372" s="192"/>
      <c r="E372" s="193"/>
      <c r="F372" s="187"/>
      <c r="G372" s="187">
        <v>12.3</v>
      </c>
      <c r="H372" s="188">
        <v>0.4</v>
      </c>
      <c r="I372" s="188">
        <v>1</v>
      </c>
      <c r="J372" s="226" t="s">
        <v>19</v>
      </c>
      <c r="K372" s="188">
        <f>G372*H372*I372</f>
        <v>4.9200000000000008</v>
      </c>
    </row>
    <row r="373" spans="1:12" s="194" customFormat="1" ht="24.95" customHeight="1" x14ac:dyDescent="0.35">
      <c r="A373" s="189"/>
      <c r="B373" s="190"/>
      <c r="C373" s="192"/>
      <c r="D373" s="192"/>
      <c r="E373" s="193"/>
      <c r="F373" s="187"/>
      <c r="G373" s="188">
        <f>F51</f>
        <v>25.9</v>
      </c>
      <c r="H373" s="188">
        <v>0.4</v>
      </c>
      <c r="I373" s="188">
        <v>1</v>
      </c>
      <c r="J373" s="226" t="s">
        <v>19</v>
      </c>
      <c r="K373" s="188">
        <f t="shared" ref="K373:K380" si="17">G373*I373</f>
        <v>25.9</v>
      </c>
    </row>
    <row r="374" spans="1:12" s="194" customFormat="1" ht="24.95" customHeight="1" x14ac:dyDescent="0.35">
      <c r="A374" s="189"/>
      <c r="B374" s="190"/>
      <c r="C374" s="192"/>
      <c r="D374" s="192"/>
      <c r="E374" s="193" t="s">
        <v>259</v>
      </c>
      <c r="F374" s="187"/>
      <c r="G374" s="188">
        <v>9.4499999999999993</v>
      </c>
      <c r="H374" s="188">
        <v>0.55000000000000004</v>
      </c>
      <c r="I374" s="188">
        <v>1</v>
      </c>
      <c r="J374" s="226" t="s">
        <v>19</v>
      </c>
      <c r="K374" s="188">
        <f t="shared" si="17"/>
        <v>9.4499999999999993</v>
      </c>
    </row>
    <row r="375" spans="1:12" s="194" customFormat="1" ht="24.95" customHeight="1" x14ac:dyDescent="0.35">
      <c r="A375" s="189"/>
      <c r="B375" s="190"/>
      <c r="C375" s="192"/>
      <c r="D375" s="192"/>
      <c r="E375" s="193"/>
      <c r="F375" s="187"/>
      <c r="G375" s="188">
        <v>8.16</v>
      </c>
      <c r="H375" s="188">
        <v>0.75</v>
      </c>
      <c r="I375" s="188">
        <v>1</v>
      </c>
      <c r="J375" s="226" t="s">
        <v>19</v>
      </c>
      <c r="K375" s="188">
        <f t="shared" si="17"/>
        <v>8.16</v>
      </c>
    </row>
    <row r="376" spans="1:12" s="194" customFormat="1" ht="24.95" customHeight="1" x14ac:dyDescent="0.35">
      <c r="A376" s="189"/>
      <c r="B376" s="190"/>
      <c r="C376" s="192"/>
      <c r="D376" s="192"/>
      <c r="E376" s="193" t="s">
        <v>260</v>
      </c>
      <c r="F376" s="187"/>
      <c r="G376" s="188">
        <v>3</v>
      </c>
      <c r="H376" s="188">
        <v>0.55000000000000004</v>
      </c>
      <c r="I376" s="188">
        <v>1</v>
      </c>
      <c r="J376" s="226" t="s">
        <v>19</v>
      </c>
      <c r="K376" s="188">
        <f t="shared" si="17"/>
        <v>3</v>
      </c>
    </row>
    <row r="377" spans="1:12" s="194" customFormat="1" ht="24.95" customHeight="1" x14ac:dyDescent="0.35">
      <c r="A377" s="189"/>
      <c r="B377" s="190"/>
      <c r="C377" s="192"/>
      <c r="D377" s="192"/>
      <c r="E377" s="193"/>
      <c r="F377" s="187"/>
      <c r="G377" s="188">
        <v>3</v>
      </c>
      <c r="H377" s="188">
        <v>0.75</v>
      </c>
      <c r="I377" s="188">
        <v>1</v>
      </c>
      <c r="J377" s="226" t="s">
        <v>19</v>
      </c>
      <c r="K377" s="188">
        <f t="shared" si="17"/>
        <v>3</v>
      </c>
    </row>
    <row r="378" spans="1:12" s="194" customFormat="1" ht="24.95" customHeight="1" x14ac:dyDescent="0.35">
      <c r="A378" s="189"/>
      <c r="B378" s="190"/>
      <c r="C378" s="192"/>
      <c r="D378" s="192"/>
      <c r="E378" s="193"/>
      <c r="F378" s="187"/>
      <c r="G378" s="188">
        <v>1.23</v>
      </c>
      <c r="H378" s="188">
        <v>0.5</v>
      </c>
      <c r="I378" s="188">
        <v>2</v>
      </c>
      <c r="J378" s="226" t="s">
        <v>19</v>
      </c>
      <c r="K378" s="188">
        <f t="shared" si="17"/>
        <v>2.46</v>
      </c>
    </row>
    <row r="379" spans="1:12" s="194" customFormat="1" ht="24.95" customHeight="1" x14ac:dyDescent="0.35">
      <c r="A379" s="189"/>
      <c r="B379" s="190"/>
      <c r="C379" s="192"/>
      <c r="D379" s="192"/>
      <c r="E379" s="193"/>
      <c r="F379" s="187"/>
      <c r="G379" s="188">
        <v>1.22</v>
      </c>
      <c r="H379" s="188">
        <v>0.55000000000000004</v>
      </c>
      <c r="I379" s="188">
        <v>1</v>
      </c>
      <c r="J379" s="226" t="s">
        <v>19</v>
      </c>
      <c r="K379" s="188">
        <f t="shared" si="17"/>
        <v>1.22</v>
      </c>
    </row>
    <row r="380" spans="1:12" s="194" customFormat="1" ht="24.95" customHeight="1" x14ac:dyDescent="0.35">
      <c r="A380" s="189"/>
      <c r="B380" s="190"/>
      <c r="C380" s="192"/>
      <c r="D380" s="192"/>
      <c r="E380" s="193"/>
      <c r="F380" s="187"/>
      <c r="G380" s="188">
        <v>1.22</v>
      </c>
      <c r="H380" s="188">
        <v>0.75</v>
      </c>
      <c r="I380" s="188">
        <v>1</v>
      </c>
      <c r="J380" s="226" t="s">
        <v>19</v>
      </c>
      <c r="K380" s="188">
        <f t="shared" si="17"/>
        <v>1.22</v>
      </c>
    </row>
    <row r="381" spans="1:12" s="194" customFormat="1" ht="24.95" customHeight="1" thickBot="1" x14ac:dyDescent="0.4">
      <c r="A381" s="189"/>
      <c r="B381" s="516" t="s">
        <v>189</v>
      </c>
      <c r="C381" s="517"/>
      <c r="D381" s="517"/>
      <c r="E381" s="517"/>
      <c r="F381" s="517"/>
      <c r="G381" s="517"/>
      <c r="H381" s="517"/>
      <c r="I381" s="517"/>
      <c r="J381" s="518"/>
      <c r="K381" s="213">
        <f>SUM(K370:K380)</f>
        <v>81.701999999999998</v>
      </c>
    </row>
    <row r="382" spans="1:12" s="194" customFormat="1" ht="24.95" customHeight="1" x14ac:dyDescent="0.35">
      <c r="A382" s="189"/>
      <c r="B382" s="197">
        <v>4</v>
      </c>
      <c r="C382" s="192" t="str">
        <f>GEDUNG!D95</f>
        <v>Pek. Plasteran Dinding ad. 1 : 4</v>
      </c>
      <c r="D382" s="192"/>
      <c r="E382" s="193"/>
      <c r="F382" s="187"/>
      <c r="G382" s="188"/>
      <c r="H382" s="188"/>
      <c r="I382" s="188"/>
      <c r="J382" s="226"/>
      <c r="K382" s="188"/>
    </row>
    <row r="383" spans="1:12" s="194" customFormat="1" ht="27.75" customHeight="1" x14ac:dyDescent="0.35">
      <c r="A383" s="189"/>
      <c r="B383" s="190"/>
      <c r="C383" s="192"/>
      <c r="D383" s="192"/>
      <c r="E383" s="250" t="s">
        <v>227</v>
      </c>
      <c r="F383" s="187"/>
      <c r="G383" s="188">
        <v>5.4625000000000004</v>
      </c>
      <c r="H383" s="188"/>
      <c r="I383" s="188">
        <v>4</v>
      </c>
      <c r="J383" s="226" t="s">
        <v>26</v>
      </c>
      <c r="K383" s="188">
        <f>G383*I383</f>
        <v>21.85</v>
      </c>
    </row>
    <row r="384" spans="1:12" s="237" customFormat="1" ht="27.75" customHeight="1" x14ac:dyDescent="0.35">
      <c r="A384" s="235"/>
      <c r="B384" s="238"/>
      <c r="C384" s="236"/>
      <c r="D384" s="236"/>
      <c r="E384" s="250" t="s">
        <v>228</v>
      </c>
      <c r="F384" s="187"/>
      <c r="G384" s="188">
        <v>4.375</v>
      </c>
      <c r="H384" s="188"/>
      <c r="I384" s="188">
        <v>2</v>
      </c>
      <c r="J384" s="226" t="s">
        <v>26</v>
      </c>
      <c r="K384" s="188">
        <f>G384*I384</f>
        <v>8.75</v>
      </c>
      <c r="L384" s="194"/>
    </row>
    <row r="385" spans="1:12" s="194" customFormat="1" ht="27.75" customHeight="1" x14ac:dyDescent="0.35">
      <c r="A385" s="189"/>
      <c r="B385" s="190"/>
      <c r="C385" s="192"/>
      <c r="D385" s="192"/>
      <c r="E385" s="250" t="s">
        <v>229</v>
      </c>
      <c r="F385" s="187"/>
      <c r="G385" s="188">
        <v>10.7925</v>
      </c>
      <c r="H385" s="188"/>
      <c r="I385" s="188">
        <v>2</v>
      </c>
      <c r="J385" s="226" t="s">
        <v>26</v>
      </c>
      <c r="K385" s="188">
        <f>G385*I385</f>
        <v>21.585000000000001</v>
      </c>
    </row>
    <row r="386" spans="1:12" s="237" customFormat="1" ht="27.75" customHeight="1" x14ac:dyDescent="0.35">
      <c r="A386" s="235"/>
      <c r="B386" s="238"/>
      <c r="C386" s="236"/>
      <c r="D386" s="236"/>
      <c r="E386" s="250" t="s">
        <v>230</v>
      </c>
      <c r="F386" s="187"/>
      <c r="G386" s="188">
        <v>46.782699999999998</v>
      </c>
      <c r="H386" s="188"/>
      <c r="I386" s="188">
        <v>2</v>
      </c>
      <c r="J386" s="226" t="s">
        <v>26</v>
      </c>
      <c r="K386" s="249">
        <f>G386*I386</f>
        <v>93.565399999999997</v>
      </c>
      <c r="L386" s="194"/>
    </row>
    <row r="387" spans="1:12" s="237" customFormat="1" ht="27.75" customHeight="1" x14ac:dyDescent="0.35">
      <c r="A387" s="235"/>
      <c r="B387" s="238"/>
      <c r="C387" s="236"/>
      <c r="D387" s="236"/>
      <c r="E387" s="250" t="s">
        <v>231</v>
      </c>
      <c r="F387" s="187"/>
      <c r="G387" s="188">
        <v>2.67</v>
      </c>
      <c r="H387" s="188">
        <v>2.09</v>
      </c>
      <c r="I387" s="188">
        <v>2</v>
      </c>
      <c r="J387" s="226" t="s">
        <v>26</v>
      </c>
      <c r="K387" s="188">
        <f>G387*H387*I387</f>
        <v>11.160599999999999</v>
      </c>
      <c r="L387" s="194"/>
    </row>
    <row r="388" spans="1:12" s="237" customFormat="1" ht="27.75" customHeight="1" x14ac:dyDescent="0.35">
      <c r="A388" s="235"/>
      <c r="B388" s="238"/>
      <c r="C388" s="236"/>
      <c r="D388" s="236"/>
      <c r="E388" s="250" t="s">
        <v>232</v>
      </c>
      <c r="F388" s="187"/>
      <c r="G388" s="188">
        <v>65.739999999999995</v>
      </c>
      <c r="H388" s="188"/>
      <c r="I388" s="188">
        <v>2</v>
      </c>
      <c r="J388" s="226" t="s">
        <v>26</v>
      </c>
      <c r="K388" s="188">
        <f t="shared" ref="K388:K395" si="18">G388*I388</f>
        <v>131.47999999999999</v>
      </c>
      <c r="L388" s="194"/>
    </row>
    <row r="389" spans="1:12" s="237" customFormat="1" ht="27.75" customHeight="1" x14ac:dyDescent="0.35">
      <c r="A389" s="235"/>
      <c r="B389" s="238"/>
      <c r="C389" s="236"/>
      <c r="D389" s="236"/>
      <c r="E389" s="250" t="s">
        <v>233</v>
      </c>
      <c r="F389" s="187"/>
      <c r="G389" s="188">
        <v>45.045299999999997</v>
      </c>
      <c r="H389" s="188"/>
      <c r="I389" s="188">
        <v>2</v>
      </c>
      <c r="J389" s="226" t="s">
        <v>26</v>
      </c>
      <c r="K389" s="188">
        <f t="shared" si="18"/>
        <v>90.090599999999995</v>
      </c>
      <c r="L389" s="194"/>
    </row>
    <row r="390" spans="1:12" s="237" customFormat="1" ht="27.75" customHeight="1" x14ac:dyDescent="0.35">
      <c r="A390" s="235"/>
      <c r="B390" s="238"/>
      <c r="C390" s="236"/>
      <c r="D390" s="236"/>
      <c r="E390" s="250" t="s">
        <v>234</v>
      </c>
      <c r="F390" s="187"/>
      <c r="G390" s="188">
        <v>9.8375000000000004</v>
      </c>
      <c r="H390" s="188"/>
      <c r="I390" s="188">
        <v>2</v>
      </c>
      <c r="J390" s="226" t="s">
        <v>26</v>
      </c>
      <c r="K390" s="188">
        <f t="shared" si="18"/>
        <v>19.675000000000001</v>
      </c>
      <c r="L390" s="194"/>
    </row>
    <row r="391" spans="1:12" s="237" customFormat="1" ht="27.75" customHeight="1" x14ac:dyDescent="0.35">
      <c r="A391" s="235"/>
      <c r="B391" s="238"/>
      <c r="C391" s="236"/>
      <c r="D391" s="236"/>
      <c r="E391" s="250" t="s">
        <v>235</v>
      </c>
      <c r="F391" s="187"/>
      <c r="G391" s="188">
        <v>48.181199999999997</v>
      </c>
      <c r="H391" s="188"/>
      <c r="I391" s="188">
        <v>2</v>
      </c>
      <c r="J391" s="226" t="s">
        <v>26</v>
      </c>
      <c r="K391" s="188">
        <f t="shared" si="18"/>
        <v>96.362399999999994</v>
      </c>
      <c r="L391" s="194"/>
    </row>
    <row r="392" spans="1:12" s="237" customFormat="1" ht="27.75" customHeight="1" x14ac:dyDescent="0.35">
      <c r="A392" s="235"/>
      <c r="B392" s="238"/>
      <c r="C392" s="236"/>
      <c r="D392" s="236"/>
      <c r="E392" s="250" t="s">
        <v>236</v>
      </c>
      <c r="F392" s="187"/>
      <c r="G392" s="188">
        <v>11.887499999999999</v>
      </c>
      <c r="H392" s="188"/>
      <c r="I392" s="188">
        <v>2</v>
      </c>
      <c r="J392" s="226" t="s">
        <v>26</v>
      </c>
      <c r="K392" s="188">
        <f t="shared" si="18"/>
        <v>23.774999999999999</v>
      </c>
    </row>
    <row r="393" spans="1:12" s="237" customFormat="1" ht="27.75" customHeight="1" x14ac:dyDescent="0.35">
      <c r="A393" s="235"/>
      <c r="B393" s="238"/>
      <c r="C393" s="236"/>
      <c r="D393" s="236"/>
      <c r="E393" s="250" t="s">
        <v>237</v>
      </c>
      <c r="F393" s="187"/>
      <c r="G393" s="188">
        <v>65.863</v>
      </c>
      <c r="H393" s="188"/>
      <c r="I393" s="188">
        <v>2</v>
      </c>
      <c r="J393" s="226" t="s">
        <v>26</v>
      </c>
      <c r="K393" s="188">
        <f t="shared" si="18"/>
        <v>131.726</v>
      </c>
    </row>
    <row r="394" spans="1:12" s="237" customFormat="1" ht="27.75" customHeight="1" x14ac:dyDescent="0.35">
      <c r="A394" s="235"/>
      <c r="B394" s="238"/>
      <c r="C394" s="236"/>
      <c r="D394" s="236"/>
      <c r="E394" s="250" t="s">
        <v>238</v>
      </c>
      <c r="F394" s="187"/>
      <c r="G394" s="188">
        <v>7.3864999999999998</v>
      </c>
      <c r="H394" s="188"/>
      <c r="I394" s="188">
        <v>2</v>
      </c>
      <c r="J394" s="226" t="s">
        <v>26</v>
      </c>
      <c r="K394" s="188">
        <f t="shared" si="18"/>
        <v>14.773</v>
      </c>
    </row>
    <row r="395" spans="1:12" s="237" customFormat="1" ht="27.75" customHeight="1" x14ac:dyDescent="0.35">
      <c r="A395" s="235"/>
      <c r="B395" s="238"/>
      <c r="C395" s="236"/>
      <c r="D395" s="236"/>
      <c r="E395" s="250" t="s">
        <v>239</v>
      </c>
      <c r="F395" s="187"/>
      <c r="G395" s="188">
        <v>4.1562999999999999</v>
      </c>
      <c r="H395" s="188"/>
      <c r="I395" s="188">
        <v>4</v>
      </c>
      <c r="J395" s="226" t="s">
        <v>26</v>
      </c>
      <c r="K395" s="188">
        <f t="shared" si="18"/>
        <v>16.6252</v>
      </c>
    </row>
    <row r="396" spans="1:12" s="237" customFormat="1" ht="27.75" customHeight="1" x14ac:dyDescent="0.35">
      <c r="A396" s="235"/>
      <c r="B396" s="238"/>
      <c r="C396" s="236"/>
      <c r="D396" s="236"/>
      <c r="E396" s="250" t="s">
        <v>240</v>
      </c>
      <c r="F396" s="187"/>
      <c r="G396" s="188">
        <v>1.37</v>
      </c>
      <c r="H396" s="188">
        <v>4.05</v>
      </c>
      <c r="I396" s="188">
        <v>4</v>
      </c>
      <c r="J396" s="226" t="s">
        <v>26</v>
      </c>
      <c r="K396" s="188">
        <f>G396*H396*I396</f>
        <v>22.193999999999999</v>
      </c>
    </row>
    <row r="397" spans="1:12" s="237" customFormat="1" ht="27.75" customHeight="1" x14ac:dyDescent="0.35">
      <c r="A397" s="235"/>
      <c r="B397" s="238"/>
      <c r="C397" s="236"/>
      <c r="D397" s="236"/>
      <c r="E397" s="250" t="s">
        <v>241</v>
      </c>
      <c r="F397" s="187"/>
      <c r="G397" s="188">
        <f>0.87+0.26</f>
        <v>1.1299999999999999</v>
      </c>
      <c r="H397" s="188">
        <v>3.88</v>
      </c>
      <c r="I397" s="188">
        <v>2</v>
      </c>
      <c r="J397" s="226" t="s">
        <v>26</v>
      </c>
      <c r="K397" s="188">
        <f t="shared" ref="K397:K404" si="19">G397*H397*I397</f>
        <v>8.7687999999999988</v>
      </c>
    </row>
    <row r="398" spans="1:12" s="237" customFormat="1" ht="27.75" customHeight="1" x14ac:dyDescent="0.35">
      <c r="A398" s="235"/>
      <c r="B398" s="238"/>
      <c r="C398" s="236"/>
      <c r="D398" s="236"/>
      <c r="E398" s="250" t="s">
        <v>242</v>
      </c>
      <c r="F398" s="187"/>
      <c r="G398" s="188">
        <v>0.87</v>
      </c>
      <c r="H398" s="188">
        <v>4.05</v>
      </c>
      <c r="I398" s="188">
        <v>2</v>
      </c>
      <c r="J398" s="226" t="s">
        <v>26</v>
      </c>
      <c r="K398" s="188">
        <f t="shared" si="19"/>
        <v>7.0469999999999997</v>
      </c>
    </row>
    <row r="399" spans="1:12" s="237" customFormat="1" ht="27.75" customHeight="1" x14ac:dyDescent="0.35">
      <c r="A399" s="235"/>
      <c r="B399" s="238"/>
      <c r="C399" s="236"/>
      <c r="D399" s="236"/>
      <c r="E399" s="250" t="s">
        <v>243</v>
      </c>
      <c r="F399" s="187"/>
      <c r="G399" s="188">
        <f>2.37+0.37</f>
        <v>2.74</v>
      </c>
      <c r="H399" s="188">
        <v>3.88</v>
      </c>
      <c r="I399" s="188">
        <v>2</v>
      </c>
      <c r="J399" s="226" t="s">
        <v>26</v>
      </c>
      <c r="K399" s="188">
        <f t="shared" si="19"/>
        <v>21.2624</v>
      </c>
    </row>
    <row r="400" spans="1:12" s="237" customFormat="1" ht="27.75" customHeight="1" x14ac:dyDescent="0.35">
      <c r="A400" s="235"/>
      <c r="B400" s="238"/>
      <c r="C400" s="236"/>
      <c r="D400" s="236"/>
      <c r="E400" s="250" t="s">
        <v>244</v>
      </c>
      <c r="F400" s="187"/>
      <c r="G400" s="188">
        <f>0.26+0.87+1.26</f>
        <v>2.3899999999999997</v>
      </c>
      <c r="H400" s="188">
        <v>3.88</v>
      </c>
      <c r="I400" s="188">
        <v>2</v>
      </c>
      <c r="J400" s="226" t="s">
        <v>26</v>
      </c>
      <c r="K400" s="188">
        <f t="shared" si="19"/>
        <v>18.546399999999998</v>
      </c>
    </row>
    <row r="401" spans="1:12" s="237" customFormat="1" ht="27.75" customHeight="1" x14ac:dyDescent="0.35">
      <c r="A401" s="235"/>
      <c r="B401" s="238"/>
      <c r="C401" s="236"/>
      <c r="D401" s="236"/>
      <c r="E401" s="250" t="s">
        <v>245</v>
      </c>
      <c r="F401" s="187"/>
      <c r="G401" s="188">
        <f>0.87+0.37</f>
        <v>1.24</v>
      </c>
      <c r="H401" s="188">
        <v>4.04</v>
      </c>
      <c r="I401" s="188">
        <v>2</v>
      </c>
      <c r="J401" s="226" t="s">
        <v>26</v>
      </c>
      <c r="K401" s="188">
        <f t="shared" si="19"/>
        <v>10.0192</v>
      </c>
    </row>
    <row r="402" spans="1:12" s="237" customFormat="1" ht="27.75" customHeight="1" x14ac:dyDescent="0.35">
      <c r="A402" s="235"/>
      <c r="B402" s="238"/>
      <c r="C402" s="236"/>
      <c r="D402" s="236"/>
      <c r="E402" s="250" t="s">
        <v>246</v>
      </c>
      <c r="F402" s="187"/>
      <c r="G402" s="188">
        <v>0.76</v>
      </c>
      <c r="H402" s="188">
        <v>3.88</v>
      </c>
      <c r="I402" s="188">
        <v>2</v>
      </c>
      <c r="J402" s="226" t="s">
        <v>26</v>
      </c>
      <c r="K402" s="188">
        <f t="shared" si="19"/>
        <v>5.8975999999999997</v>
      </c>
    </row>
    <row r="403" spans="1:12" s="237" customFormat="1" ht="27.75" customHeight="1" x14ac:dyDescent="0.35">
      <c r="A403" s="235"/>
      <c r="B403" s="238"/>
      <c r="C403" s="236"/>
      <c r="D403" s="236"/>
      <c r="E403" s="250" t="s">
        <v>249</v>
      </c>
      <c r="F403" s="187"/>
      <c r="G403" s="188">
        <v>3.65</v>
      </c>
      <c r="H403" s="188">
        <v>1</v>
      </c>
      <c r="I403" s="188">
        <v>4</v>
      </c>
      <c r="J403" s="226" t="s">
        <v>26</v>
      </c>
      <c r="K403" s="188">
        <f t="shared" si="19"/>
        <v>14.6</v>
      </c>
    </row>
    <row r="404" spans="1:12" s="237" customFormat="1" ht="27.75" customHeight="1" x14ac:dyDescent="0.35">
      <c r="A404" s="235"/>
      <c r="B404" s="238"/>
      <c r="C404" s="236"/>
      <c r="D404" s="236"/>
      <c r="E404" s="250" t="s">
        <v>250</v>
      </c>
      <c r="F404" s="187"/>
      <c r="G404" s="188">
        <v>1.65</v>
      </c>
      <c r="H404" s="188">
        <v>1</v>
      </c>
      <c r="I404" s="188">
        <v>4</v>
      </c>
      <c r="J404" s="226" t="s">
        <v>26</v>
      </c>
      <c r="K404" s="188">
        <f t="shared" si="19"/>
        <v>6.6</v>
      </c>
    </row>
    <row r="405" spans="1:12" s="194" customFormat="1" ht="24.95" customHeight="1" thickBot="1" x14ac:dyDescent="0.4">
      <c r="A405" s="189"/>
      <c r="B405" s="516" t="s">
        <v>189</v>
      </c>
      <c r="C405" s="517"/>
      <c r="D405" s="517"/>
      <c r="E405" s="517"/>
      <c r="F405" s="517"/>
      <c r="G405" s="517"/>
      <c r="H405" s="517"/>
      <c r="I405" s="517"/>
      <c r="J405" s="518"/>
      <c r="K405" s="213">
        <f>SUM(K383:K404)</f>
        <v>796.3535999999998</v>
      </c>
      <c r="L405" s="194">
        <f>L362-K405</f>
        <v>0</v>
      </c>
    </row>
    <row r="406" spans="1:12" s="194" customFormat="1" ht="24.95" customHeight="1" x14ac:dyDescent="0.35">
      <c r="A406" s="189"/>
      <c r="B406" s="197">
        <v>5</v>
      </c>
      <c r="C406" s="192" t="str">
        <f>GEDUNG!D96</f>
        <v xml:space="preserve">Pek. Acian </v>
      </c>
      <c r="D406" s="192"/>
      <c r="E406" s="193"/>
      <c r="F406" s="187"/>
      <c r="G406" s="188"/>
      <c r="H406" s="188"/>
      <c r="I406" s="188"/>
      <c r="J406" s="226"/>
      <c r="K406" s="188"/>
    </row>
    <row r="407" spans="1:12" s="194" customFormat="1" ht="27.75" customHeight="1" x14ac:dyDescent="0.35">
      <c r="A407" s="189"/>
      <c r="B407" s="190"/>
      <c r="C407" s="192"/>
      <c r="D407" s="192"/>
      <c r="E407" s="250" t="s">
        <v>227</v>
      </c>
      <c r="F407" s="187"/>
      <c r="G407" s="188">
        <v>5.4625000000000004</v>
      </c>
      <c r="H407" s="188"/>
      <c r="I407" s="188">
        <v>4</v>
      </c>
      <c r="J407" s="226" t="s">
        <v>26</v>
      </c>
      <c r="K407" s="188">
        <f>G407*I407</f>
        <v>21.85</v>
      </c>
    </row>
    <row r="408" spans="1:12" s="237" customFormat="1" ht="27.75" customHeight="1" x14ac:dyDescent="0.35">
      <c r="A408" s="235"/>
      <c r="B408" s="238"/>
      <c r="C408" s="236"/>
      <c r="D408" s="236"/>
      <c r="E408" s="250" t="s">
        <v>228</v>
      </c>
      <c r="F408" s="187"/>
      <c r="G408" s="188">
        <v>4.375</v>
      </c>
      <c r="H408" s="188"/>
      <c r="I408" s="188">
        <v>2</v>
      </c>
      <c r="J408" s="226" t="s">
        <v>26</v>
      </c>
      <c r="K408" s="188">
        <f>G408*I408</f>
        <v>8.75</v>
      </c>
      <c r="L408" s="194"/>
    </row>
    <row r="409" spans="1:12" s="194" customFormat="1" ht="27.75" customHeight="1" x14ac:dyDescent="0.35">
      <c r="A409" s="189"/>
      <c r="B409" s="190"/>
      <c r="C409" s="192"/>
      <c r="D409" s="192"/>
      <c r="E409" s="250" t="s">
        <v>229</v>
      </c>
      <c r="F409" s="187"/>
      <c r="G409" s="188">
        <v>10.7925</v>
      </c>
      <c r="H409" s="188"/>
      <c r="I409" s="188">
        <v>2</v>
      </c>
      <c r="J409" s="226" t="s">
        <v>26</v>
      </c>
      <c r="K409" s="188">
        <f>G409*I409</f>
        <v>21.585000000000001</v>
      </c>
    </row>
    <row r="410" spans="1:12" s="237" customFormat="1" ht="27.75" customHeight="1" x14ac:dyDescent="0.35">
      <c r="A410" s="235"/>
      <c r="B410" s="238"/>
      <c r="C410" s="236"/>
      <c r="D410" s="236"/>
      <c r="E410" s="250" t="s">
        <v>230</v>
      </c>
      <c r="F410" s="187"/>
      <c r="G410" s="188">
        <v>46.782699999999998</v>
      </c>
      <c r="H410" s="188"/>
      <c r="I410" s="188">
        <v>2</v>
      </c>
      <c r="J410" s="226" t="s">
        <v>26</v>
      </c>
      <c r="K410" s="249">
        <f>G410*I410</f>
        <v>93.565399999999997</v>
      </c>
      <c r="L410" s="194"/>
    </row>
    <row r="411" spans="1:12" s="237" customFormat="1" ht="27.75" customHeight="1" x14ac:dyDescent="0.35">
      <c r="A411" s="235"/>
      <c r="B411" s="238"/>
      <c r="C411" s="236"/>
      <c r="D411" s="236"/>
      <c r="E411" s="250" t="s">
        <v>231</v>
      </c>
      <c r="F411" s="187"/>
      <c r="G411" s="188">
        <v>2.67</v>
      </c>
      <c r="H411" s="188">
        <v>2.09</v>
      </c>
      <c r="I411" s="188">
        <v>2</v>
      </c>
      <c r="J411" s="226" t="s">
        <v>26</v>
      </c>
      <c r="K411" s="188">
        <f>G411*H411*I411</f>
        <v>11.160599999999999</v>
      </c>
      <c r="L411" s="194"/>
    </row>
    <row r="412" spans="1:12" s="237" customFormat="1" ht="27.75" customHeight="1" x14ac:dyDescent="0.35">
      <c r="A412" s="235"/>
      <c r="B412" s="238"/>
      <c r="C412" s="236"/>
      <c r="D412" s="236"/>
      <c r="E412" s="250" t="s">
        <v>232</v>
      </c>
      <c r="F412" s="187"/>
      <c r="G412" s="188">
        <v>65.739999999999995</v>
      </c>
      <c r="H412" s="188"/>
      <c r="I412" s="188">
        <v>2</v>
      </c>
      <c r="J412" s="226" t="s">
        <v>26</v>
      </c>
      <c r="K412" s="188">
        <f t="shared" ref="K412:K419" si="20">G412*I412</f>
        <v>131.47999999999999</v>
      </c>
      <c r="L412" s="194"/>
    </row>
    <row r="413" spans="1:12" s="237" customFormat="1" ht="27.75" customHeight="1" x14ac:dyDescent="0.35">
      <c r="A413" s="235"/>
      <c r="B413" s="238"/>
      <c r="C413" s="236"/>
      <c r="D413" s="236"/>
      <c r="E413" s="250" t="s">
        <v>233</v>
      </c>
      <c r="F413" s="187"/>
      <c r="G413" s="188">
        <v>45.045299999999997</v>
      </c>
      <c r="H413" s="188"/>
      <c r="I413" s="188">
        <v>2</v>
      </c>
      <c r="J413" s="226" t="s">
        <v>26</v>
      </c>
      <c r="K413" s="188">
        <f t="shared" si="20"/>
        <v>90.090599999999995</v>
      </c>
      <c r="L413" s="194"/>
    </row>
    <row r="414" spans="1:12" s="237" customFormat="1" ht="27.75" customHeight="1" x14ac:dyDescent="0.35">
      <c r="A414" s="235"/>
      <c r="B414" s="238"/>
      <c r="C414" s="236"/>
      <c r="D414" s="236"/>
      <c r="E414" s="250" t="s">
        <v>234</v>
      </c>
      <c r="F414" s="187"/>
      <c r="G414" s="188">
        <v>9.8375000000000004</v>
      </c>
      <c r="H414" s="188"/>
      <c r="I414" s="188">
        <v>2</v>
      </c>
      <c r="J414" s="226" t="s">
        <v>26</v>
      </c>
      <c r="K414" s="188">
        <f t="shared" si="20"/>
        <v>19.675000000000001</v>
      </c>
      <c r="L414" s="194"/>
    </row>
    <row r="415" spans="1:12" s="237" customFormat="1" ht="27.75" customHeight="1" x14ac:dyDescent="0.35">
      <c r="A415" s="235"/>
      <c r="B415" s="238"/>
      <c r="C415" s="236"/>
      <c r="D415" s="236"/>
      <c r="E415" s="250" t="s">
        <v>235</v>
      </c>
      <c r="F415" s="187"/>
      <c r="G415" s="188">
        <v>48.181199999999997</v>
      </c>
      <c r="H415" s="188"/>
      <c r="I415" s="188">
        <v>2</v>
      </c>
      <c r="J415" s="226" t="s">
        <v>26</v>
      </c>
      <c r="K415" s="188">
        <f t="shared" si="20"/>
        <v>96.362399999999994</v>
      </c>
      <c r="L415" s="194"/>
    </row>
    <row r="416" spans="1:12" s="237" customFormat="1" ht="27.75" customHeight="1" x14ac:dyDescent="0.35">
      <c r="A416" s="235"/>
      <c r="B416" s="238"/>
      <c r="C416" s="236"/>
      <c r="D416" s="236"/>
      <c r="E416" s="250" t="s">
        <v>236</v>
      </c>
      <c r="F416" s="187"/>
      <c r="G416" s="188">
        <v>11.887499999999999</v>
      </c>
      <c r="H416" s="188"/>
      <c r="I416" s="188">
        <v>2</v>
      </c>
      <c r="J416" s="226" t="s">
        <v>26</v>
      </c>
      <c r="K416" s="188">
        <f t="shared" si="20"/>
        <v>23.774999999999999</v>
      </c>
    </row>
    <row r="417" spans="1:11" s="237" customFormat="1" ht="27.75" customHeight="1" x14ac:dyDescent="0.35">
      <c r="A417" s="235"/>
      <c r="B417" s="238"/>
      <c r="C417" s="236"/>
      <c r="D417" s="236"/>
      <c r="E417" s="250" t="s">
        <v>237</v>
      </c>
      <c r="F417" s="187"/>
      <c r="G417" s="188">
        <v>65.863</v>
      </c>
      <c r="H417" s="188"/>
      <c r="I417" s="188">
        <v>2</v>
      </c>
      <c r="J417" s="226" t="s">
        <v>26</v>
      </c>
      <c r="K417" s="188">
        <f t="shared" si="20"/>
        <v>131.726</v>
      </c>
    </row>
    <row r="418" spans="1:11" s="237" customFormat="1" ht="27.75" customHeight="1" x14ac:dyDescent="0.35">
      <c r="A418" s="235"/>
      <c r="B418" s="238"/>
      <c r="C418" s="236"/>
      <c r="D418" s="236"/>
      <c r="E418" s="250" t="s">
        <v>238</v>
      </c>
      <c r="F418" s="187"/>
      <c r="G418" s="188">
        <v>7.3864999999999998</v>
      </c>
      <c r="H418" s="188"/>
      <c r="I418" s="188">
        <v>2</v>
      </c>
      <c r="J418" s="226" t="s">
        <v>26</v>
      </c>
      <c r="K418" s="188">
        <f t="shared" si="20"/>
        <v>14.773</v>
      </c>
    </row>
    <row r="419" spans="1:11" s="237" customFormat="1" ht="27.75" customHeight="1" x14ac:dyDescent="0.35">
      <c r="A419" s="235"/>
      <c r="B419" s="238"/>
      <c r="C419" s="236"/>
      <c r="D419" s="236"/>
      <c r="E419" s="250" t="s">
        <v>239</v>
      </c>
      <c r="F419" s="187"/>
      <c r="G419" s="188">
        <v>4.1562999999999999</v>
      </c>
      <c r="H419" s="188"/>
      <c r="I419" s="188">
        <v>4</v>
      </c>
      <c r="J419" s="226" t="s">
        <v>26</v>
      </c>
      <c r="K419" s="188">
        <f t="shared" si="20"/>
        <v>16.6252</v>
      </c>
    </row>
    <row r="420" spans="1:11" s="237" customFormat="1" ht="27.75" customHeight="1" x14ac:dyDescent="0.35">
      <c r="A420" s="235"/>
      <c r="B420" s="238"/>
      <c r="C420" s="236"/>
      <c r="D420" s="236"/>
      <c r="E420" s="250" t="s">
        <v>240</v>
      </c>
      <c r="F420" s="187"/>
      <c r="G420" s="188">
        <v>1.37</v>
      </c>
      <c r="H420" s="188">
        <v>4.05</v>
      </c>
      <c r="I420" s="188">
        <v>4</v>
      </c>
      <c r="J420" s="226" t="s">
        <v>26</v>
      </c>
      <c r="K420" s="188">
        <f>G420*H420*I420</f>
        <v>22.193999999999999</v>
      </c>
    </row>
    <row r="421" spans="1:11" s="237" customFormat="1" ht="27.75" customHeight="1" x14ac:dyDescent="0.35">
      <c r="A421" s="235"/>
      <c r="B421" s="238"/>
      <c r="C421" s="236"/>
      <c r="D421" s="236"/>
      <c r="E421" s="250" t="s">
        <v>241</v>
      </c>
      <c r="F421" s="187"/>
      <c r="G421" s="188">
        <f>0.87+0.26</f>
        <v>1.1299999999999999</v>
      </c>
      <c r="H421" s="188">
        <v>3.88</v>
      </c>
      <c r="I421" s="188">
        <v>2</v>
      </c>
      <c r="J421" s="226" t="s">
        <v>26</v>
      </c>
      <c r="K421" s="188">
        <f t="shared" ref="K421:K429" si="21">G421*H421*I421</f>
        <v>8.7687999999999988</v>
      </c>
    </row>
    <row r="422" spans="1:11" s="237" customFormat="1" ht="27.75" customHeight="1" x14ac:dyDescent="0.35">
      <c r="A422" s="235"/>
      <c r="B422" s="238"/>
      <c r="C422" s="236"/>
      <c r="D422" s="236"/>
      <c r="E422" s="250" t="s">
        <v>242</v>
      </c>
      <c r="F422" s="187"/>
      <c r="G422" s="188">
        <v>0.87</v>
      </c>
      <c r="H422" s="188">
        <v>4.05</v>
      </c>
      <c r="I422" s="188">
        <v>2</v>
      </c>
      <c r="J422" s="226" t="s">
        <v>26</v>
      </c>
      <c r="K422" s="188">
        <f t="shared" si="21"/>
        <v>7.0469999999999997</v>
      </c>
    </row>
    <row r="423" spans="1:11" s="237" customFormat="1" ht="27.75" customHeight="1" x14ac:dyDescent="0.35">
      <c r="A423" s="235"/>
      <c r="B423" s="238"/>
      <c r="C423" s="236"/>
      <c r="D423" s="236"/>
      <c r="E423" s="250" t="s">
        <v>243</v>
      </c>
      <c r="F423" s="187"/>
      <c r="G423" s="188">
        <f>2.37+0.37</f>
        <v>2.74</v>
      </c>
      <c r="H423" s="188">
        <v>3.88</v>
      </c>
      <c r="I423" s="188">
        <v>2</v>
      </c>
      <c r="J423" s="226" t="s">
        <v>26</v>
      </c>
      <c r="K423" s="188">
        <f t="shared" si="21"/>
        <v>21.2624</v>
      </c>
    </row>
    <row r="424" spans="1:11" s="237" customFormat="1" ht="27.75" customHeight="1" x14ac:dyDescent="0.35">
      <c r="A424" s="235"/>
      <c r="B424" s="238"/>
      <c r="C424" s="236"/>
      <c r="D424" s="236"/>
      <c r="E424" s="250" t="s">
        <v>244</v>
      </c>
      <c r="F424" s="187"/>
      <c r="G424" s="188">
        <f>0.26+0.87+1.26</f>
        <v>2.3899999999999997</v>
      </c>
      <c r="H424" s="188">
        <v>3.88</v>
      </c>
      <c r="I424" s="188">
        <v>2</v>
      </c>
      <c r="J424" s="226" t="s">
        <v>26</v>
      </c>
      <c r="K424" s="188">
        <f t="shared" si="21"/>
        <v>18.546399999999998</v>
      </c>
    </row>
    <row r="425" spans="1:11" s="237" customFormat="1" ht="27.75" customHeight="1" x14ac:dyDescent="0.35">
      <c r="A425" s="235"/>
      <c r="B425" s="238"/>
      <c r="C425" s="236"/>
      <c r="D425" s="236"/>
      <c r="E425" s="250" t="s">
        <v>245</v>
      </c>
      <c r="F425" s="187"/>
      <c r="G425" s="188">
        <f>0.87+0.37</f>
        <v>1.24</v>
      </c>
      <c r="H425" s="188">
        <v>4.04</v>
      </c>
      <c r="I425" s="188">
        <v>2</v>
      </c>
      <c r="J425" s="226" t="s">
        <v>26</v>
      </c>
      <c r="K425" s="188">
        <f t="shared" si="21"/>
        <v>10.0192</v>
      </c>
    </row>
    <row r="426" spans="1:11" s="237" customFormat="1" ht="27.75" customHeight="1" x14ac:dyDescent="0.35">
      <c r="A426" s="235"/>
      <c r="B426" s="238"/>
      <c r="C426" s="236"/>
      <c r="D426" s="236"/>
      <c r="E426" s="250" t="s">
        <v>246</v>
      </c>
      <c r="F426" s="187"/>
      <c r="G426" s="188">
        <v>0.76</v>
      </c>
      <c r="H426" s="188">
        <v>3.88</v>
      </c>
      <c r="I426" s="188">
        <v>2</v>
      </c>
      <c r="J426" s="226" t="s">
        <v>26</v>
      </c>
      <c r="K426" s="188">
        <f t="shared" si="21"/>
        <v>5.8975999999999997</v>
      </c>
    </row>
    <row r="427" spans="1:11" s="237" customFormat="1" ht="27.75" customHeight="1" x14ac:dyDescent="0.35">
      <c r="A427" s="235"/>
      <c r="B427" s="238"/>
      <c r="C427" s="236"/>
      <c r="D427" s="236"/>
      <c r="E427" s="250" t="s">
        <v>249</v>
      </c>
      <c r="F427" s="187"/>
      <c r="G427" s="188">
        <v>3.65</v>
      </c>
      <c r="H427" s="188">
        <v>1</v>
      </c>
      <c r="I427" s="188">
        <v>4</v>
      </c>
      <c r="J427" s="226" t="s">
        <v>26</v>
      </c>
      <c r="K427" s="188">
        <f t="shared" si="21"/>
        <v>14.6</v>
      </c>
    </row>
    <row r="428" spans="1:11" s="237" customFormat="1" ht="27.75" customHeight="1" x14ac:dyDescent="0.35">
      <c r="A428" s="235"/>
      <c r="B428" s="238"/>
      <c r="C428" s="236"/>
      <c r="D428" s="236"/>
      <c r="E428" s="250" t="s">
        <v>250</v>
      </c>
      <c r="F428" s="187"/>
      <c r="G428" s="188">
        <v>1.65</v>
      </c>
      <c r="H428" s="188">
        <v>1</v>
      </c>
      <c r="I428" s="188">
        <v>4</v>
      </c>
      <c r="J428" s="226" t="s">
        <v>26</v>
      </c>
      <c r="K428" s="188">
        <f t="shared" si="21"/>
        <v>6.6</v>
      </c>
    </row>
    <row r="429" spans="1:11" s="194" customFormat="1" ht="24.95" customHeight="1" x14ac:dyDescent="0.35">
      <c r="A429" s="189"/>
      <c r="B429" s="190"/>
      <c r="C429" s="192"/>
      <c r="D429" s="192"/>
      <c r="E429" s="193" t="s">
        <v>251</v>
      </c>
      <c r="F429" s="187"/>
      <c r="G429" s="188">
        <f>0.45+0.45+0.16+0.16+0.16+0.16</f>
        <v>1.5399999999999998</v>
      </c>
      <c r="H429" s="188">
        <v>3.3</v>
      </c>
      <c r="I429" s="188">
        <v>6</v>
      </c>
      <c r="J429" s="226" t="s">
        <v>26</v>
      </c>
      <c r="K429" s="188">
        <f t="shared" si="21"/>
        <v>30.491999999999994</v>
      </c>
    </row>
    <row r="430" spans="1:11" s="194" customFormat="1" ht="24.95" customHeight="1" x14ac:dyDescent="0.35">
      <c r="A430" s="189"/>
      <c r="B430" s="190"/>
      <c r="C430" s="192"/>
      <c r="D430" s="192"/>
      <c r="E430" s="193" t="s">
        <v>252</v>
      </c>
      <c r="F430" s="187"/>
      <c r="G430" s="188">
        <f>0.4+0.4+0.13+0.13+0.13+0.13</f>
        <v>1.3199999999999998</v>
      </c>
      <c r="H430" s="188">
        <v>3.3</v>
      </c>
      <c r="I430" s="188">
        <v>13</v>
      </c>
      <c r="J430" s="226" t="s">
        <v>26</v>
      </c>
      <c r="K430" s="188">
        <f>G430*H430*I430</f>
        <v>56.627999999999986</v>
      </c>
    </row>
    <row r="431" spans="1:11" s="194" customFormat="1" ht="24.95" customHeight="1" x14ac:dyDescent="0.35">
      <c r="A431" s="189"/>
      <c r="B431" s="190"/>
      <c r="C431" s="192"/>
      <c r="D431" s="192"/>
      <c r="E431" s="193" t="s">
        <v>253</v>
      </c>
      <c r="F431" s="187"/>
      <c r="G431" s="188">
        <f>0.35+0.35+0.11+0.11+0.11+0.11</f>
        <v>1.1400000000000001</v>
      </c>
      <c r="H431" s="188">
        <v>3.3</v>
      </c>
      <c r="I431" s="188">
        <v>13</v>
      </c>
      <c r="J431" s="226" t="s">
        <v>26</v>
      </c>
      <c r="K431" s="188">
        <f>G431*H431*I431</f>
        <v>48.905999999999999</v>
      </c>
    </row>
    <row r="432" spans="1:11" s="194" customFormat="1" ht="24.95" customHeight="1" x14ac:dyDescent="0.35">
      <c r="A432" s="189"/>
      <c r="B432" s="190"/>
      <c r="C432" s="192"/>
      <c r="D432" s="192"/>
      <c r="E432" s="193"/>
      <c r="F432" s="187"/>
      <c r="G432" s="188">
        <f>0.35+0.35+0.11+0.11+0.11+0.11</f>
        <v>1.1400000000000001</v>
      </c>
      <c r="H432" s="188">
        <v>1.55</v>
      </c>
      <c r="I432" s="188">
        <v>16</v>
      </c>
      <c r="J432" s="226" t="s">
        <v>26</v>
      </c>
      <c r="K432" s="188">
        <f>G432*H432*I432</f>
        <v>28.272000000000006</v>
      </c>
    </row>
    <row r="433" spans="1:11" s="194" customFormat="1" ht="24.95" customHeight="1" thickBot="1" x14ac:dyDescent="0.4">
      <c r="A433" s="189"/>
      <c r="B433" s="516" t="s">
        <v>189</v>
      </c>
      <c r="C433" s="517"/>
      <c r="D433" s="517"/>
      <c r="E433" s="517"/>
      <c r="F433" s="517"/>
      <c r="G433" s="517"/>
      <c r="H433" s="517"/>
      <c r="I433" s="517"/>
      <c r="J433" s="518"/>
      <c r="K433" s="213">
        <f>SUM(K407:K432)</f>
        <v>960.6515999999998</v>
      </c>
    </row>
    <row r="434" spans="1:11" s="194" customFormat="1" ht="24.95" customHeight="1" x14ac:dyDescent="0.35">
      <c r="A434" s="189"/>
      <c r="B434" s="197">
        <v>6</v>
      </c>
      <c r="C434" s="192" t="e">
        <f>GEDUNG!#REF!</f>
        <v>#REF!</v>
      </c>
      <c r="D434" s="192"/>
      <c r="E434" s="193"/>
      <c r="F434" s="187"/>
      <c r="G434" s="188"/>
      <c r="H434" s="188"/>
      <c r="I434" s="188"/>
      <c r="J434" s="226"/>
      <c r="K434" s="188"/>
    </row>
    <row r="435" spans="1:11" s="194" customFormat="1" ht="24.95" customHeight="1" x14ac:dyDescent="0.35">
      <c r="A435" s="189"/>
      <c r="B435" s="190"/>
      <c r="C435" s="192"/>
      <c r="D435" s="192"/>
      <c r="E435" s="193"/>
      <c r="F435" s="187"/>
      <c r="G435" s="188"/>
      <c r="H435" s="188"/>
      <c r="I435" s="188">
        <v>3</v>
      </c>
      <c r="J435" s="226" t="s">
        <v>32</v>
      </c>
      <c r="K435" s="188">
        <f>I435</f>
        <v>3</v>
      </c>
    </row>
    <row r="436" spans="1:11" s="194" customFormat="1" ht="24.95" customHeight="1" thickBot="1" x14ac:dyDescent="0.4">
      <c r="A436" s="189"/>
      <c r="B436" s="516" t="s">
        <v>189</v>
      </c>
      <c r="C436" s="517"/>
      <c r="D436" s="517"/>
      <c r="E436" s="517"/>
      <c r="F436" s="517"/>
      <c r="G436" s="517"/>
      <c r="H436" s="517"/>
      <c r="I436" s="517"/>
      <c r="J436" s="518"/>
      <c r="K436" s="213">
        <f>SUM(K435:K435)</f>
        <v>3</v>
      </c>
    </row>
    <row r="437" spans="1:11" s="194" customFormat="1" ht="24.95" customHeight="1" x14ac:dyDescent="0.35">
      <c r="A437" s="189"/>
      <c r="B437" s="197">
        <v>7</v>
      </c>
      <c r="C437" s="192" t="e">
        <f>GEDUNG!#REF!</f>
        <v>#REF!</v>
      </c>
      <c r="D437" s="192"/>
      <c r="E437" s="193"/>
      <c r="F437" s="187"/>
      <c r="G437" s="188"/>
      <c r="H437" s="188"/>
      <c r="I437" s="188"/>
      <c r="J437" s="226"/>
      <c r="K437" s="188"/>
    </row>
    <row r="438" spans="1:11" s="194" customFormat="1" ht="24.95" customHeight="1" x14ac:dyDescent="0.35">
      <c r="A438" s="189"/>
      <c r="B438" s="190"/>
      <c r="C438" s="192"/>
      <c r="D438" s="192"/>
      <c r="E438" s="193" t="s">
        <v>281</v>
      </c>
      <c r="F438" s="187"/>
      <c r="G438" s="188">
        <v>11.78</v>
      </c>
      <c r="H438" s="188"/>
      <c r="I438" s="188">
        <v>1</v>
      </c>
      <c r="J438" s="226" t="s">
        <v>19</v>
      </c>
      <c r="K438" s="188">
        <f t="shared" ref="K438:K444" si="22">G438*I438</f>
        <v>11.78</v>
      </c>
    </row>
    <row r="439" spans="1:11" s="194" customFormat="1" ht="24.95" customHeight="1" x14ac:dyDescent="0.35">
      <c r="A439" s="189"/>
      <c r="B439" s="190"/>
      <c r="C439" s="192"/>
      <c r="D439" s="192"/>
      <c r="E439" s="193" t="s">
        <v>248</v>
      </c>
      <c r="F439" s="187"/>
      <c r="G439" s="188">
        <f>0.45*4</f>
        <v>1.8</v>
      </c>
      <c r="H439" s="188"/>
      <c r="I439" s="188">
        <v>24</v>
      </c>
      <c r="J439" s="226" t="s">
        <v>19</v>
      </c>
      <c r="K439" s="188">
        <f t="shared" si="22"/>
        <v>43.2</v>
      </c>
    </row>
    <row r="440" spans="1:11" s="194" customFormat="1" ht="24.95" customHeight="1" x14ac:dyDescent="0.35">
      <c r="A440" s="189"/>
      <c r="B440" s="190"/>
      <c r="C440" s="192"/>
      <c r="D440" s="192"/>
      <c r="E440" s="193" t="s">
        <v>284</v>
      </c>
      <c r="F440" s="187"/>
      <c r="G440" s="188">
        <v>3.65</v>
      </c>
      <c r="H440" s="188"/>
      <c r="I440" s="188">
        <v>1</v>
      </c>
      <c r="J440" s="226" t="s">
        <v>19</v>
      </c>
      <c r="K440" s="188">
        <f t="shared" si="22"/>
        <v>3.65</v>
      </c>
    </row>
    <row r="441" spans="1:11" s="194" customFormat="1" ht="24.95" customHeight="1" x14ac:dyDescent="0.35">
      <c r="A441" s="189"/>
      <c r="B441" s="190"/>
      <c r="C441" s="192"/>
      <c r="D441" s="192"/>
      <c r="E441" s="193" t="s">
        <v>282</v>
      </c>
      <c r="F441" s="187"/>
      <c r="G441" s="188">
        <v>1.1299999999999999</v>
      </c>
      <c r="H441" s="188"/>
      <c r="I441" s="188">
        <v>4</v>
      </c>
      <c r="J441" s="226" t="s">
        <v>19</v>
      </c>
      <c r="K441" s="188">
        <f t="shared" si="22"/>
        <v>4.5199999999999996</v>
      </c>
    </row>
    <row r="442" spans="1:11" s="194" customFormat="1" ht="24.95" customHeight="1" x14ac:dyDescent="0.35">
      <c r="A442" s="189"/>
      <c r="B442" s="190"/>
      <c r="C442" s="192"/>
      <c r="D442" s="192"/>
      <c r="E442" s="193" t="s">
        <v>283</v>
      </c>
      <c r="F442" s="187"/>
      <c r="G442" s="188">
        <v>3.65</v>
      </c>
      <c r="H442" s="188"/>
      <c r="I442" s="188">
        <v>1</v>
      </c>
      <c r="J442" s="226" t="s">
        <v>19</v>
      </c>
      <c r="K442" s="188">
        <f t="shared" si="22"/>
        <v>3.65</v>
      </c>
    </row>
    <row r="443" spans="1:11" s="194" customFormat="1" ht="24.95" customHeight="1" x14ac:dyDescent="0.35">
      <c r="A443" s="189"/>
      <c r="B443" s="190"/>
      <c r="C443" s="192"/>
      <c r="D443" s="192"/>
      <c r="E443" s="193" t="s">
        <v>285</v>
      </c>
      <c r="F443" s="187"/>
      <c r="G443" s="188">
        <v>5</v>
      </c>
      <c r="H443" s="188"/>
      <c r="I443" s="188">
        <v>2</v>
      </c>
      <c r="J443" s="226" t="s">
        <v>19</v>
      </c>
      <c r="K443" s="188">
        <f t="shared" si="22"/>
        <v>10</v>
      </c>
    </row>
    <row r="444" spans="1:11" s="194" customFormat="1" ht="24.95" customHeight="1" x14ac:dyDescent="0.35">
      <c r="A444" s="189"/>
      <c r="B444" s="190"/>
      <c r="C444" s="192"/>
      <c r="D444" s="192"/>
      <c r="E444" s="193"/>
      <c r="F444" s="187"/>
      <c r="G444" s="188">
        <v>2.7625000000000002</v>
      </c>
      <c r="H444" s="188"/>
      <c r="I444" s="188">
        <v>1</v>
      </c>
      <c r="J444" s="226" t="s">
        <v>19</v>
      </c>
      <c r="K444" s="188">
        <f t="shared" si="22"/>
        <v>2.7625000000000002</v>
      </c>
    </row>
    <row r="445" spans="1:11" s="194" customFormat="1" ht="24.95" customHeight="1" thickBot="1" x14ac:dyDescent="0.4">
      <c r="A445" s="189"/>
      <c r="B445" s="516" t="s">
        <v>189</v>
      </c>
      <c r="C445" s="517"/>
      <c r="D445" s="517"/>
      <c r="E445" s="517"/>
      <c r="F445" s="517"/>
      <c r="G445" s="517"/>
      <c r="H445" s="517"/>
      <c r="I445" s="517"/>
      <c r="J445" s="518"/>
      <c r="K445" s="213">
        <f>SUM(K438:K444)</f>
        <v>79.562500000000014</v>
      </c>
    </row>
    <row r="446" spans="1:11" s="194" customFormat="1" ht="24.95" customHeight="1" x14ac:dyDescent="0.35">
      <c r="A446" s="189"/>
      <c r="B446" s="197">
        <v>8</v>
      </c>
      <c r="C446" s="192">
        <f>GEDUNG!D97</f>
        <v>0</v>
      </c>
      <c r="D446" s="192"/>
      <c r="E446" s="193"/>
      <c r="F446" s="187"/>
      <c r="G446" s="188"/>
      <c r="H446" s="188"/>
      <c r="I446" s="188"/>
      <c r="J446" s="226"/>
      <c r="K446" s="188"/>
    </row>
    <row r="447" spans="1:11" s="194" customFormat="1" ht="24.95" customHeight="1" x14ac:dyDescent="0.35">
      <c r="A447" s="189"/>
      <c r="B447" s="190"/>
      <c r="C447" s="192"/>
      <c r="D447" s="192"/>
      <c r="E447" s="193"/>
      <c r="F447" s="187"/>
      <c r="G447" s="188">
        <v>12.3995</v>
      </c>
      <c r="H447" s="188"/>
      <c r="I447" s="188">
        <v>1</v>
      </c>
      <c r="J447" s="226" t="s">
        <v>26</v>
      </c>
      <c r="K447" s="188">
        <f>G447*I447</f>
        <v>12.3995</v>
      </c>
    </row>
    <row r="448" spans="1:11" s="194" customFormat="1" ht="24.95" customHeight="1" thickBot="1" x14ac:dyDescent="0.4">
      <c r="A448" s="189"/>
      <c r="B448" s="516" t="s">
        <v>189</v>
      </c>
      <c r="C448" s="517"/>
      <c r="D448" s="517"/>
      <c r="E448" s="517"/>
      <c r="F448" s="517"/>
      <c r="G448" s="517"/>
      <c r="H448" s="517"/>
      <c r="I448" s="517"/>
      <c r="J448" s="518"/>
      <c r="K448" s="213">
        <f>SUM(K447:K447)</f>
        <v>12.3995</v>
      </c>
    </row>
    <row r="449" spans="1:11" s="194" customFormat="1" ht="24.95" customHeight="1" x14ac:dyDescent="0.35">
      <c r="A449" s="189"/>
      <c r="B449" s="197" t="str">
        <f>GEDUNG!D100</f>
        <v>LANTAI II</v>
      </c>
      <c r="C449" s="192"/>
      <c r="D449" s="192"/>
      <c r="E449" s="193"/>
      <c r="F449" s="187"/>
      <c r="G449" s="188"/>
      <c r="H449" s="188"/>
      <c r="I449" s="188"/>
      <c r="J449" s="226"/>
      <c r="K449" s="188"/>
    </row>
    <row r="450" spans="1:11" s="194" customFormat="1" ht="24.95" customHeight="1" x14ac:dyDescent="0.35">
      <c r="A450" s="189"/>
      <c r="B450" s="197">
        <v>1</v>
      </c>
      <c r="C450" s="192" t="str">
        <f>GEDUNG!D101</f>
        <v>Pek. Pas. Dinding Batu Bata ad. 1 : 4</v>
      </c>
      <c r="D450" s="192"/>
      <c r="E450" s="193"/>
      <c r="F450" s="187"/>
      <c r="G450" s="188"/>
      <c r="H450" s="188"/>
      <c r="I450" s="188"/>
      <c r="J450" s="226"/>
      <c r="K450" s="188"/>
    </row>
    <row r="451" spans="1:11" s="194" customFormat="1" ht="24.95" customHeight="1" x14ac:dyDescent="0.35">
      <c r="A451" s="189"/>
      <c r="B451" s="197"/>
      <c r="C451" s="192"/>
      <c r="D451" s="192"/>
      <c r="E451" s="250" t="s">
        <v>227</v>
      </c>
      <c r="F451" s="187"/>
      <c r="G451" s="188">
        <v>10.63</v>
      </c>
      <c r="H451" s="188">
        <v>1.3</v>
      </c>
      <c r="I451" s="188">
        <v>1</v>
      </c>
      <c r="J451" s="226" t="s">
        <v>26</v>
      </c>
      <c r="K451" s="188">
        <f>G451*H451*I451</f>
        <v>13.819000000000001</v>
      </c>
    </row>
    <row r="452" spans="1:11" s="194" customFormat="1" ht="24.95" customHeight="1" x14ac:dyDescent="0.35">
      <c r="A452" s="189"/>
      <c r="B452" s="197"/>
      <c r="C452" s="192"/>
      <c r="D452" s="192"/>
      <c r="E452" s="250" t="s">
        <v>228</v>
      </c>
      <c r="F452" s="187"/>
      <c r="G452" s="188">
        <v>1.26</v>
      </c>
      <c r="H452" s="188">
        <v>3.65</v>
      </c>
      <c r="I452" s="188">
        <v>1</v>
      </c>
      <c r="J452" s="226" t="s">
        <v>26</v>
      </c>
      <c r="K452" s="188">
        <f>G452*H452*I452</f>
        <v>4.5990000000000002</v>
      </c>
    </row>
    <row r="453" spans="1:11" s="194" customFormat="1" ht="24.95" customHeight="1" x14ac:dyDescent="0.35">
      <c r="A453" s="189"/>
      <c r="B453" s="197"/>
      <c r="C453" s="192"/>
      <c r="D453" s="192"/>
      <c r="E453" s="250" t="s">
        <v>229</v>
      </c>
      <c r="F453" s="187"/>
      <c r="G453" s="188">
        <v>27.248999999999999</v>
      </c>
      <c r="H453" s="188"/>
      <c r="I453" s="188">
        <v>1</v>
      </c>
      <c r="J453" s="226" t="s">
        <v>26</v>
      </c>
      <c r="K453" s="188">
        <f>G453*I453</f>
        <v>27.248999999999999</v>
      </c>
    </row>
    <row r="454" spans="1:11" s="194" customFormat="1" ht="24.95" customHeight="1" x14ac:dyDescent="0.35">
      <c r="A454" s="189"/>
      <c r="B454" s="197"/>
      <c r="C454" s="192"/>
      <c r="D454" s="192"/>
      <c r="E454" s="250" t="s">
        <v>230</v>
      </c>
      <c r="F454" s="187"/>
      <c r="G454" s="188">
        <v>60.905000000000001</v>
      </c>
      <c r="H454" s="188"/>
      <c r="I454" s="188">
        <v>1</v>
      </c>
      <c r="J454" s="226" t="s">
        <v>26</v>
      </c>
      <c r="K454" s="188">
        <f>G454*I454</f>
        <v>60.905000000000001</v>
      </c>
    </row>
    <row r="455" spans="1:11" s="194" customFormat="1" ht="24.95" customHeight="1" x14ac:dyDescent="0.35">
      <c r="A455" s="189"/>
      <c r="B455" s="197"/>
      <c r="C455" s="192"/>
      <c r="D455" s="192"/>
      <c r="E455" s="250" t="s">
        <v>231</v>
      </c>
      <c r="F455" s="187"/>
      <c r="G455" s="188">
        <v>48.875999999999998</v>
      </c>
      <c r="H455" s="188"/>
      <c r="I455" s="188">
        <v>1</v>
      </c>
      <c r="J455" s="226" t="s">
        <v>26</v>
      </c>
      <c r="K455" s="188">
        <f>G455*I455</f>
        <v>48.875999999999998</v>
      </c>
    </row>
    <row r="456" spans="1:11" s="194" customFormat="1" ht="24.95" customHeight="1" x14ac:dyDescent="0.35">
      <c r="A456" s="189"/>
      <c r="B456" s="197"/>
      <c r="C456" s="192"/>
      <c r="D456" s="192"/>
      <c r="E456" s="250" t="s">
        <v>232</v>
      </c>
      <c r="F456" s="187"/>
      <c r="G456" s="188">
        <f>0.17+0.17+0.15+0.15</f>
        <v>0.64</v>
      </c>
      <c r="H456" s="188">
        <v>2.8</v>
      </c>
      <c r="I456" s="188">
        <v>1</v>
      </c>
      <c r="J456" s="226" t="s">
        <v>26</v>
      </c>
      <c r="K456" s="188">
        <f>G456*H456*I456</f>
        <v>1.7919999999999998</v>
      </c>
    </row>
    <row r="457" spans="1:11" s="194" customFormat="1" ht="24.95" customHeight="1" x14ac:dyDescent="0.35">
      <c r="A457" s="189"/>
      <c r="B457" s="197"/>
      <c r="C457" s="192"/>
      <c r="D457" s="192"/>
      <c r="E457" s="250" t="s">
        <v>233</v>
      </c>
      <c r="F457" s="187"/>
      <c r="G457" s="188">
        <v>67.245999999999995</v>
      </c>
      <c r="H457" s="188"/>
      <c r="I457" s="188">
        <v>1</v>
      </c>
      <c r="J457" s="226" t="s">
        <v>26</v>
      </c>
      <c r="K457" s="188">
        <f t="shared" ref="K457:K469" si="23">G457*I457</f>
        <v>67.245999999999995</v>
      </c>
    </row>
    <row r="458" spans="1:11" s="194" customFormat="1" ht="24.95" customHeight="1" x14ac:dyDescent="0.35">
      <c r="A458" s="189"/>
      <c r="B458" s="197"/>
      <c r="C458" s="192"/>
      <c r="D458" s="192"/>
      <c r="E458" s="250" t="s">
        <v>234</v>
      </c>
      <c r="F458" s="187"/>
      <c r="G458" s="188">
        <f>2.37+0.37</f>
        <v>2.74</v>
      </c>
      <c r="H458" s="188">
        <f>4-0.3</f>
        <v>3.7</v>
      </c>
      <c r="I458" s="188">
        <v>1</v>
      </c>
      <c r="J458" s="226" t="s">
        <v>26</v>
      </c>
      <c r="K458" s="188">
        <f t="shared" si="23"/>
        <v>2.74</v>
      </c>
    </row>
    <row r="459" spans="1:11" s="194" customFormat="1" ht="24.95" customHeight="1" x14ac:dyDescent="0.35">
      <c r="A459" s="189"/>
      <c r="B459" s="197"/>
      <c r="C459" s="192"/>
      <c r="D459" s="192"/>
      <c r="E459" s="250" t="s">
        <v>235</v>
      </c>
      <c r="F459" s="187"/>
      <c r="G459" s="188">
        <v>39.838500000000003</v>
      </c>
      <c r="H459" s="188"/>
      <c r="I459" s="188">
        <v>1</v>
      </c>
      <c r="J459" s="226" t="s">
        <v>26</v>
      </c>
      <c r="K459" s="188">
        <f t="shared" si="23"/>
        <v>39.838500000000003</v>
      </c>
    </row>
    <row r="460" spans="1:11" s="194" customFormat="1" ht="24.95" customHeight="1" x14ac:dyDescent="0.35">
      <c r="A460" s="189"/>
      <c r="B460" s="197"/>
      <c r="C460" s="192"/>
      <c r="D460" s="192"/>
      <c r="E460" s="250" t="s">
        <v>236</v>
      </c>
      <c r="F460" s="187"/>
      <c r="G460" s="188">
        <v>48.625300000000003</v>
      </c>
      <c r="H460" s="188"/>
      <c r="I460" s="188">
        <v>1</v>
      </c>
      <c r="J460" s="226" t="s">
        <v>26</v>
      </c>
      <c r="K460" s="188">
        <f t="shared" si="23"/>
        <v>48.625300000000003</v>
      </c>
    </row>
    <row r="461" spans="1:11" s="194" customFormat="1" ht="24.95" customHeight="1" x14ac:dyDescent="0.35">
      <c r="A461" s="189"/>
      <c r="B461" s="197"/>
      <c r="C461" s="192"/>
      <c r="D461" s="192"/>
      <c r="E461" s="250" t="s">
        <v>237</v>
      </c>
      <c r="F461" s="187"/>
      <c r="G461" s="188">
        <v>8.7575000000000003</v>
      </c>
      <c r="H461" s="188"/>
      <c r="I461" s="188">
        <v>1</v>
      </c>
      <c r="J461" s="226" t="s">
        <v>26</v>
      </c>
      <c r="K461" s="188">
        <f t="shared" si="23"/>
        <v>8.7575000000000003</v>
      </c>
    </row>
    <row r="462" spans="1:11" s="194" customFormat="1" ht="24.95" customHeight="1" x14ac:dyDescent="0.35">
      <c r="A462" s="189"/>
      <c r="B462" s="197"/>
      <c r="C462" s="192"/>
      <c r="D462" s="192"/>
      <c r="E462" s="250" t="s">
        <v>238</v>
      </c>
      <c r="F462" s="187"/>
      <c r="G462" s="188">
        <f>0.23+0.18</f>
        <v>0.41000000000000003</v>
      </c>
      <c r="H462" s="188">
        <v>2.8</v>
      </c>
      <c r="I462" s="188">
        <v>1</v>
      </c>
      <c r="J462" s="226" t="s">
        <v>26</v>
      </c>
      <c r="K462" s="188">
        <f t="shared" si="23"/>
        <v>0.41000000000000003</v>
      </c>
    </row>
    <row r="463" spans="1:11" s="194" customFormat="1" ht="24.95" customHeight="1" x14ac:dyDescent="0.35">
      <c r="A463" s="189"/>
      <c r="B463" s="197"/>
      <c r="C463" s="192"/>
      <c r="D463" s="192"/>
      <c r="E463" s="250" t="s">
        <v>239</v>
      </c>
      <c r="F463" s="187"/>
      <c r="G463" s="188">
        <v>35.1203</v>
      </c>
      <c r="H463" s="188"/>
      <c r="I463" s="188">
        <v>1</v>
      </c>
      <c r="J463" s="226" t="s">
        <v>26</v>
      </c>
      <c r="K463" s="188">
        <f t="shared" si="23"/>
        <v>35.1203</v>
      </c>
    </row>
    <row r="464" spans="1:11" s="194" customFormat="1" ht="24.95" customHeight="1" x14ac:dyDescent="0.35">
      <c r="A464" s="189"/>
      <c r="B464" s="197"/>
      <c r="C464" s="192"/>
      <c r="D464" s="192"/>
      <c r="E464" s="250" t="s">
        <v>240</v>
      </c>
      <c r="F464" s="187"/>
      <c r="G464" s="188">
        <v>34.018000000000001</v>
      </c>
      <c r="H464" s="188"/>
      <c r="I464" s="188">
        <v>1</v>
      </c>
      <c r="J464" s="226" t="s">
        <v>26</v>
      </c>
      <c r="K464" s="188">
        <f t="shared" si="23"/>
        <v>34.018000000000001</v>
      </c>
    </row>
    <row r="465" spans="1:11" s="194" customFormat="1" ht="24.95" customHeight="1" x14ac:dyDescent="0.35">
      <c r="A465" s="189"/>
      <c r="B465" s="197"/>
      <c r="C465" s="192"/>
      <c r="D465" s="192"/>
      <c r="E465" s="250" t="s">
        <v>241</v>
      </c>
      <c r="F465" s="187"/>
      <c r="G465" s="188">
        <v>12.913</v>
      </c>
      <c r="H465" s="188"/>
      <c r="I465" s="188">
        <v>1</v>
      </c>
      <c r="J465" s="226" t="s">
        <v>26</v>
      </c>
      <c r="K465" s="188">
        <f t="shared" si="23"/>
        <v>12.913</v>
      </c>
    </row>
    <row r="466" spans="1:11" s="194" customFormat="1" ht="24.95" customHeight="1" x14ac:dyDescent="0.35">
      <c r="A466" s="189"/>
      <c r="B466" s="197"/>
      <c r="C466" s="192"/>
      <c r="D466" s="192"/>
      <c r="E466" s="250" t="s">
        <v>242</v>
      </c>
      <c r="F466" s="187"/>
      <c r="G466" s="188">
        <v>3.774</v>
      </c>
      <c r="H466" s="188"/>
      <c r="I466" s="188">
        <v>2</v>
      </c>
      <c r="J466" s="226" t="s">
        <v>26</v>
      </c>
      <c r="K466" s="188">
        <f t="shared" si="23"/>
        <v>7.548</v>
      </c>
    </row>
    <row r="467" spans="1:11" s="194" customFormat="1" ht="24.95" customHeight="1" x14ac:dyDescent="0.35">
      <c r="A467" s="189"/>
      <c r="B467" s="197"/>
      <c r="C467" s="192"/>
      <c r="D467" s="192"/>
      <c r="E467" s="250" t="s">
        <v>243</v>
      </c>
      <c r="F467" s="187"/>
      <c r="G467" s="188">
        <v>1.37</v>
      </c>
      <c r="H467" s="188">
        <f>4-0.15</f>
        <v>3.85</v>
      </c>
      <c r="I467" s="188">
        <v>2</v>
      </c>
      <c r="J467" s="226" t="s">
        <v>26</v>
      </c>
      <c r="K467" s="188">
        <f t="shared" si="23"/>
        <v>2.74</v>
      </c>
    </row>
    <row r="468" spans="1:11" s="194" customFormat="1" ht="24.95" customHeight="1" x14ac:dyDescent="0.35">
      <c r="A468" s="189"/>
      <c r="B468" s="197"/>
      <c r="C468" s="192"/>
      <c r="D468" s="192"/>
      <c r="E468" s="250" t="s">
        <v>244</v>
      </c>
      <c r="F468" s="187"/>
      <c r="G468" s="188">
        <v>1.1299999999999999</v>
      </c>
      <c r="H468" s="188">
        <f>4-0.15</f>
        <v>3.85</v>
      </c>
      <c r="I468" s="188">
        <v>1</v>
      </c>
      <c r="J468" s="226" t="s">
        <v>26</v>
      </c>
      <c r="K468" s="188">
        <f t="shared" si="23"/>
        <v>1.1299999999999999</v>
      </c>
    </row>
    <row r="469" spans="1:11" s="194" customFormat="1" ht="24.95" customHeight="1" x14ac:dyDescent="0.35">
      <c r="A469" s="189"/>
      <c r="B469" s="197"/>
      <c r="C469" s="192"/>
      <c r="D469" s="192"/>
      <c r="E469" s="250" t="s">
        <v>245</v>
      </c>
      <c r="F469" s="187"/>
      <c r="G469" s="188">
        <f>0.87+0.37</f>
        <v>1.24</v>
      </c>
      <c r="H469" s="188">
        <f>4-0.15</f>
        <v>3.85</v>
      </c>
      <c r="I469" s="188">
        <v>1</v>
      </c>
      <c r="J469" s="226" t="s">
        <v>26</v>
      </c>
      <c r="K469" s="188">
        <f t="shared" si="23"/>
        <v>1.24</v>
      </c>
    </row>
    <row r="470" spans="1:11" s="194" customFormat="1" ht="24.95" customHeight="1" x14ac:dyDescent="0.35">
      <c r="A470" s="189"/>
      <c r="B470" s="197"/>
      <c r="C470" s="192"/>
      <c r="D470" s="192"/>
      <c r="E470" s="250" t="s">
        <v>265</v>
      </c>
      <c r="F470" s="187"/>
      <c r="G470" s="188">
        <f>1.63+0.76+2.87+0.76+1.65+2.63</f>
        <v>10.3</v>
      </c>
      <c r="H470" s="188">
        <f>10.25-8-0.3</f>
        <v>1.95</v>
      </c>
      <c r="I470" s="188">
        <v>1</v>
      </c>
      <c r="J470" s="226" t="s">
        <v>26</v>
      </c>
      <c r="K470" s="188">
        <f>G470*H470*I470</f>
        <v>20.085000000000001</v>
      </c>
    </row>
    <row r="471" spans="1:11" s="194" customFormat="1" ht="24.95" customHeight="1" thickBot="1" x14ac:dyDescent="0.4">
      <c r="A471" s="189"/>
      <c r="B471" s="519" t="s">
        <v>189</v>
      </c>
      <c r="C471" s="520"/>
      <c r="D471" s="520"/>
      <c r="E471" s="520"/>
      <c r="F471" s="520"/>
      <c r="G471" s="520"/>
      <c r="H471" s="520"/>
      <c r="I471" s="520"/>
      <c r="J471" s="521"/>
      <c r="K471" s="213">
        <f>SUM(K451:K470)</f>
        <v>439.65159999999997</v>
      </c>
    </row>
    <row r="472" spans="1:11" s="194" customFormat="1" ht="24.95" customHeight="1" x14ac:dyDescent="0.35">
      <c r="A472" s="189"/>
      <c r="B472" s="197">
        <v>2</v>
      </c>
      <c r="C472" s="192" t="str">
        <f>GEDUNG!D102</f>
        <v>Pek. Plasteran Dinding ad. 1 : 4</v>
      </c>
      <c r="D472" s="192"/>
      <c r="E472" s="193"/>
      <c r="F472" s="187"/>
      <c r="G472" s="188"/>
      <c r="H472" s="188"/>
      <c r="I472" s="188"/>
      <c r="J472" s="226"/>
      <c r="K472" s="188"/>
    </row>
    <row r="473" spans="1:11" s="194" customFormat="1" ht="24.95" customHeight="1" x14ac:dyDescent="0.35">
      <c r="A473" s="189"/>
      <c r="B473" s="197"/>
      <c r="C473" s="192"/>
      <c r="D473" s="192"/>
      <c r="E473" s="250" t="s">
        <v>227</v>
      </c>
      <c r="F473" s="187"/>
      <c r="G473" s="188">
        <v>10.63</v>
      </c>
      <c r="H473" s="188">
        <v>1.3</v>
      </c>
      <c r="I473" s="188">
        <v>2</v>
      </c>
      <c r="J473" s="226" t="s">
        <v>26</v>
      </c>
      <c r="K473" s="188">
        <f>G473*H473*I473</f>
        <v>27.638000000000002</v>
      </c>
    </row>
    <row r="474" spans="1:11" s="194" customFormat="1" ht="24.95" customHeight="1" x14ac:dyDescent="0.35">
      <c r="A474" s="189"/>
      <c r="B474" s="197"/>
      <c r="C474" s="192"/>
      <c r="D474" s="192"/>
      <c r="E474" s="250" t="s">
        <v>228</v>
      </c>
      <c r="F474" s="187"/>
      <c r="G474" s="188">
        <v>1.26</v>
      </c>
      <c r="H474" s="188">
        <v>3.65</v>
      </c>
      <c r="I474" s="188">
        <v>2</v>
      </c>
      <c r="J474" s="226" t="s">
        <v>26</v>
      </c>
      <c r="K474" s="188">
        <f>G474*H474*I474</f>
        <v>9.1980000000000004</v>
      </c>
    </row>
    <row r="475" spans="1:11" s="194" customFormat="1" ht="24.95" customHeight="1" x14ac:dyDescent="0.35">
      <c r="A475" s="189"/>
      <c r="B475" s="197"/>
      <c r="C475" s="192"/>
      <c r="D475" s="192"/>
      <c r="E475" s="250" t="s">
        <v>229</v>
      </c>
      <c r="F475" s="187"/>
      <c r="G475" s="188">
        <v>27.248999999999999</v>
      </c>
      <c r="H475" s="188"/>
      <c r="I475" s="188">
        <v>2</v>
      </c>
      <c r="J475" s="226" t="s">
        <v>26</v>
      </c>
      <c r="K475" s="188">
        <f>G475*I475</f>
        <v>54.497999999999998</v>
      </c>
    </row>
    <row r="476" spans="1:11" s="194" customFormat="1" ht="24.95" customHeight="1" x14ac:dyDescent="0.35">
      <c r="A476" s="189"/>
      <c r="B476" s="197"/>
      <c r="C476" s="192"/>
      <c r="D476" s="192"/>
      <c r="E476" s="250" t="s">
        <v>230</v>
      </c>
      <c r="F476" s="187"/>
      <c r="G476" s="188">
        <v>60.905000000000001</v>
      </c>
      <c r="H476" s="188"/>
      <c r="I476" s="188">
        <v>2</v>
      </c>
      <c r="J476" s="226" t="s">
        <v>26</v>
      </c>
      <c r="K476" s="188">
        <f>G476*I476</f>
        <v>121.81</v>
      </c>
    </row>
    <row r="477" spans="1:11" s="194" customFormat="1" ht="24.95" customHeight="1" x14ac:dyDescent="0.35">
      <c r="A477" s="189"/>
      <c r="B477" s="197"/>
      <c r="C477" s="192"/>
      <c r="D477" s="192"/>
      <c r="E477" s="250" t="s">
        <v>231</v>
      </c>
      <c r="F477" s="187"/>
      <c r="G477" s="188">
        <v>48.875999999999998</v>
      </c>
      <c r="H477" s="188"/>
      <c r="I477" s="188">
        <v>2</v>
      </c>
      <c r="J477" s="226" t="s">
        <v>26</v>
      </c>
      <c r="K477" s="188">
        <f>G477*I477</f>
        <v>97.751999999999995</v>
      </c>
    </row>
    <row r="478" spans="1:11" s="194" customFormat="1" ht="24.95" customHeight="1" x14ac:dyDescent="0.35">
      <c r="A478" s="189"/>
      <c r="B478" s="197"/>
      <c r="C478" s="192"/>
      <c r="D478" s="192"/>
      <c r="E478" s="250" t="s">
        <v>232</v>
      </c>
      <c r="F478" s="187"/>
      <c r="G478" s="188">
        <f>0.17+0.17+0.15+0.15</f>
        <v>0.64</v>
      </c>
      <c r="H478" s="188">
        <v>2.8</v>
      </c>
      <c r="I478" s="188">
        <v>2</v>
      </c>
      <c r="J478" s="226" t="s">
        <v>26</v>
      </c>
      <c r="K478" s="188">
        <f>G478*H478*I478</f>
        <v>3.5839999999999996</v>
      </c>
    </row>
    <row r="479" spans="1:11" s="194" customFormat="1" ht="24.95" customHeight="1" x14ac:dyDescent="0.35">
      <c r="A479" s="189"/>
      <c r="B479" s="197"/>
      <c r="C479" s="192"/>
      <c r="D479" s="192"/>
      <c r="E479" s="250" t="s">
        <v>233</v>
      </c>
      <c r="F479" s="187"/>
      <c r="G479" s="188">
        <v>67.245999999999995</v>
      </c>
      <c r="H479" s="188"/>
      <c r="I479" s="188">
        <v>2</v>
      </c>
      <c r="J479" s="226" t="s">
        <v>26</v>
      </c>
      <c r="K479" s="188">
        <f t="shared" ref="K479:K491" si="24">G479*I479</f>
        <v>134.49199999999999</v>
      </c>
    </row>
    <row r="480" spans="1:11" s="194" customFormat="1" ht="24.95" customHeight="1" x14ac:dyDescent="0.35">
      <c r="A480" s="189"/>
      <c r="B480" s="197"/>
      <c r="C480" s="192"/>
      <c r="D480" s="192"/>
      <c r="E480" s="250" t="s">
        <v>234</v>
      </c>
      <c r="F480" s="187"/>
      <c r="G480" s="188">
        <f>2.37+0.37</f>
        <v>2.74</v>
      </c>
      <c r="H480" s="188">
        <f>4-0.3</f>
        <v>3.7</v>
      </c>
      <c r="I480" s="188">
        <v>2</v>
      </c>
      <c r="J480" s="226" t="s">
        <v>26</v>
      </c>
      <c r="K480" s="188">
        <f t="shared" si="24"/>
        <v>5.48</v>
      </c>
    </row>
    <row r="481" spans="1:11" s="194" customFormat="1" ht="24.95" customHeight="1" x14ac:dyDescent="0.35">
      <c r="A481" s="189"/>
      <c r="B481" s="197"/>
      <c r="C481" s="192"/>
      <c r="D481" s="192"/>
      <c r="E481" s="250" t="s">
        <v>235</v>
      </c>
      <c r="F481" s="187"/>
      <c r="G481" s="188">
        <v>39.838500000000003</v>
      </c>
      <c r="H481" s="188"/>
      <c r="I481" s="188">
        <v>2</v>
      </c>
      <c r="J481" s="226" t="s">
        <v>26</v>
      </c>
      <c r="K481" s="188">
        <f t="shared" si="24"/>
        <v>79.677000000000007</v>
      </c>
    </row>
    <row r="482" spans="1:11" s="194" customFormat="1" ht="24.95" customHeight="1" x14ac:dyDescent="0.35">
      <c r="A482" s="189"/>
      <c r="B482" s="197"/>
      <c r="C482" s="192"/>
      <c r="D482" s="192"/>
      <c r="E482" s="250" t="s">
        <v>236</v>
      </c>
      <c r="F482" s="187"/>
      <c r="G482" s="188">
        <v>48.625300000000003</v>
      </c>
      <c r="H482" s="188"/>
      <c r="I482" s="188">
        <v>2</v>
      </c>
      <c r="J482" s="226" t="s">
        <v>26</v>
      </c>
      <c r="K482" s="188">
        <f t="shared" si="24"/>
        <v>97.250600000000006</v>
      </c>
    </row>
    <row r="483" spans="1:11" s="194" customFormat="1" ht="24.95" customHeight="1" x14ac:dyDescent="0.35">
      <c r="A483" s="189"/>
      <c r="B483" s="197"/>
      <c r="C483" s="192"/>
      <c r="D483" s="192"/>
      <c r="E483" s="250" t="s">
        <v>237</v>
      </c>
      <c r="F483" s="187"/>
      <c r="G483" s="188">
        <v>8.7575000000000003</v>
      </c>
      <c r="H483" s="188"/>
      <c r="I483" s="188">
        <v>2</v>
      </c>
      <c r="J483" s="226" t="s">
        <v>26</v>
      </c>
      <c r="K483" s="188">
        <f t="shared" si="24"/>
        <v>17.515000000000001</v>
      </c>
    </row>
    <row r="484" spans="1:11" s="194" customFormat="1" ht="24.95" customHeight="1" x14ac:dyDescent="0.35">
      <c r="A484" s="189"/>
      <c r="B484" s="197"/>
      <c r="C484" s="192"/>
      <c r="D484" s="192"/>
      <c r="E484" s="250" t="s">
        <v>238</v>
      </c>
      <c r="F484" s="187"/>
      <c r="G484" s="188">
        <f>0.23+0.18</f>
        <v>0.41000000000000003</v>
      </c>
      <c r="H484" s="188">
        <v>2.8</v>
      </c>
      <c r="I484" s="188">
        <v>2</v>
      </c>
      <c r="J484" s="226" t="s">
        <v>26</v>
      </c>
      <c r="K484" s="188">
        <f t="shared" si="24"/>
        <v>0.82000000000000006</v>
      </c>
    </row>
    <row r="485" spans="1:11" s="194" customFormat="1" ht="24.95" customHeight="1" x14ac:dyDescent="0.35">
      <c r="A485" s="189"/>
      <c r="B485" s="197"/>
      <c r="C485" s="192"/>
      <c r="D485" s="192"/>
      <c r="E485" s="250" t="s">
        <v>239</v>
      </c>
      <c r="F485" s="187"/>
      <c r="G485" s="188">
        <v>35.1203</v>
      </c>
      <c r="H485" s="188"/>
      <c r="I485" s="188">
        <v>2</v>
      </c>
      <c r="J485" s="226" t="s">
        <v>26</v>
      </c>
      <c r="K485" s="188">
        <f t="shared" si="24"/>
        <v>70.240600000000001</v>
      </c>
    </row>
    <row r="486" spans="1:11" s="194" customFormat="1" ht="24.95" customHeight="1" x14ac:dyDescent="0.35">
      <c r="A486" s="189"/>
      <c r="B486" s="197"/>
      <c r="C486" s="192"/>
      <c r="D486" s="192"/>
      <c r="E486" s="250" t="s">
        <v>240</v>
      </c>
      <c r="F486" s="187"/>
      <c r="G486" s="188">
        <v>34.018000000000001</v>
      </c>
      <c r="H486" s="188"/>
      <c r="I486" s="188">
        <v>2</v>
      </c>
      <c r="J486" s="226" t="s">
        <v>26</v>
      </c>
      <c r="K486" s="188">
        <f t="shared" si="24"/>
        <v>68.036000000000001</v>
      </c>
    </row>
    <row r="487" spans="1:11" s="194" customFormat="1" ht="24.95" customHeight="1" x14ac:dyDescent="0.35">
      <c r="A487" s="189"/>
      <c r="B487" s="197"/>
      <c r="C487" s="192"/>
      <c r="D487" s="192"/>
      <c r="E487" s="250" t="s">
        <v>241</v>
      </c>
      <c r="F487" s="187"/>
      <c r="G487" s="188">
        <v>12.913</v>
      </c>
      <c r="H487" s="188"/>
      <c r="I487" s="188">
        <v>2</v>
      </c>
      <c r="J487" s="226" t="s">
        <v>26</v>
      </c>
      <c r="K487" s="188">
        <f t="shared" si="24"/>
        <v>25.826000000000001</v>
      </c>
    </row>
    <row r="488" spans="1:11" s="194" customFormat="1" ht="24.95" customHeight="1" x14ac:dyDescent="0.35">
      <c r="A488" s="189"/>
      <c r="B488" s="197"/>
      <c r="C488" s="192"/>
      <c r="D488" s="192"/>
      <c r="E488" s="250" t="s">
        <v>242</v>
      </c>
      <c r="F488" s="187"/>
      <c r="G488" s="188">
        <v>3.774</v>
      </c>
      <c r="H488" s="188"/>
      <c r="I488" s="188">
        <v>4</v>
      </c>
      <c r="J488" s="226" t="s">
        <v>26</v>
      </c>
      <c r="K488" s="188">
        <f t="shared" si="24"/>
        <v>15.096</v>
      </c>
    </row>
    <row r="489" spans="1:11" s="194" customFormat="1" ht="24.95" customHeight="1" x14ac:dyDescent="0.35">
      <c r="A489" s="189"/>
      <c r="B489" s="197"/>
      <c r="C489" s="192"/>
      <c r="D489" s="192"/>
      <c r="E489" s="250" t="s">
        <v>243</v>
      </c>
      <c r="F489" s="187"/>
      <c r="G489" s="188">
        <v>1.37</v>
      </c>
      <c r="H489" s="188">
        <f>4-0.15</f>
        <v>3.85</v>
      </c>
      <c r="I489" s="188">
        <v>4</v>
      </c>
      <c r="J489" s="226" t="s">
        <v>26</v>
      </c>
      <c r="K489" s="188">
        <f t="shared" si="24"/>
        <v>5.48</v>
      </c>
    </row>
    <row r="490" spans="1:11" s="194" customFormat="1" ht="24.95" customHeight="1" x14ac:dyDescent="0.35">
      <c r="A490" s="189"/>
      <c r="B490" s="197"/>
      <c r="C490" s="192"/>
      <c r="D490" s="192"/>
      <c r="E490" s="250" t="s">
        <v>244</v>
      </c>
      <c r="F490" s="187"/>
      <c r="G490" s="188">
        <v>1.1299999999999999</v>
      </c>
      <c r="H490" s="188">
        <f>4-0.15</f>
        <v>3.85</v>
      </c>
      <c r="I490" s="188">
        <v>2</v>
      </c>
      <c r="J490" s="226" t="s">
        <v>26</v>
      </c>
      <c r="K490" s="188">
        <f t="shared" si="24"/>
        <v>2.2599999999999998</v>
      </c>
    </row>
    <row r="491" spans="1:11" s="194" customFormat="1" ht="24.95" customHeight="1" x14ac:dyDescent="0.35">
      <c r="A491" s="189"/>
      <c r="B491" s="197"/>
      <c r="C491" s="192"/>
      <c r="D491" s="192"/>
      <c r="E491" s="250" t="s">
        <v>245</v>
      </c>
      <c r="F491" s="187"/>
      <c r="G491" s="188">
        <f>0.87+0.37</f>
        <v>1.24</v>
      </c>
      <c r="H491" s="188">
        <f>4-0.15</f>
        <v>3.85</v>
      </c>
      <c r="I491" s="188">
        <v>2</v>
      </c>
      <c r="J491" s="226" t="s">
        <v>26</v>
      </c>
      <c r="K491" s="188">
        <f t="shared" si="24"/>
        <v>2.48</v>
      </c>
    </row>
    <row r="492" spans="1:11" s="194" customFormat="1" ht="24.95" customHeight="1" x14ac:dyDescent="0.35">
      <c r="A492" s="189"/>
      <c r="B492" s="197"/>
      <c r="C492" s="192"/>
      <c r="D492" s="192"/>
      <c r="E492" s="250" t="s">
        <v>265</v>
      </c>
      <c r="F492" s="187"/>
      <c r="G492" s="188">
        <f>1.63+0.76+2.87+0.76+1.65+2.63</f>
        <v>10.3</v>
      </c>
      <c r="H492" s="188">
        <f>10.25-8-0.3</f>
        <v>1.95</v>
      </c>
      <c r="I492" s="188">
        <v>2</v>
      </c>
      <c r="J492" s="226" t="s">
        <v>26</v>
      </c>
      <c r="K492" s="188">
        <f>G492*H492*I492</f>
        <v>40.17</v>
      </c>
    </row>
    <row r="493" spans="1:11" s="194" customFormat="1" ht="24.95" customHeight="1" thickBot="1" x14ac:dyDescent="0.4">
      <c r="A493" s="189"/>
      <c r="B493" s="519" t="s">
        <v>189</v>
      </c>
      <c r="C493" s="520"/>
      <c r="D493" s="520"/>
      <c r="E493" s="520"/>
      <c r="F493" s="520"/>
      <c r="G493" s="520"/>
      <c r="H493" s="520"/>
      <c r="I493" s="520"/>
      <c r="J493" s="521"/>
      <c r="K493" s="213">
        <f>SUM(K473:K492)</f>
        <v>879.30319999999995</v>
      </c>
    </row>
    <row r="494" spans="1:11" s="194" customFormat="1" ht="24.95" customHeight="1" x14ac:dyDescent="0.35">
      <c r="A494" s="189"/>
      <c r="B494" s="197">
        <v>3</v>
      </c>
      <c r="C494" s="192" t="str">
        <f>GEDUNG!D103</f>
        <v xml:space="preserve">Pek. Acian </v>
      </c>
      <c r="D494" s="192"/>
      <c r="E494" s="193"/>
      <c r="F494" s="187"/>
      <c r="G494" s="188"/>
      <c r="H494" s="188"/>
      <c r="I494" s="188"/>
      <c r="J494" s="226"/>
      <c r="K494" s="188"/>
    </row>
    <row r="495" spans="1:11" s="194" customFormat="1" ht="24.95" customHeight="1" x14ac:dyDescent="0.35">
      <c r="A495" s="189"/>
      <c r="B495" s="197"/>
      <c r="C495" s="192"/>
      <c r="D495" s="192"/>
      <c r="E495" s="250" t="s">
        <v>227</v>
      </c>
      <c r="F495" s="187"/>
      <c r="G495" s="188">
        <v>10.63</v>
      </c>
      <c r="H495" s="188">
        <v>1.3</v>
      </c>
      <c r="I495" s="188">
        <v>2</v>
      </c>
      <c r="J495" s="226" t="s">
        <v>26</v>
      </c>
      <c r="K495" s="188">
        <f>G495*H495*I495</f>
        <v>27.638000000000002</v>
      </c>
    </row>
    <row r="496" spans="1:11" s="194" customFormat="1" ht="24.95" customHeight="1" x14ac:dyDescent="0.35">
      <c r="A496" s="189"/>
      <c r="B496" s="197"/>
      <c r="C496" s="192"/>
      <c r="D496" s="192"/>
      <c r="E496" s="250" t="s">
        <v>228</v>
      </c>
      <c r="F496" s="187"/>
      <c r="G496" s="188">
        <v>1.26</v>
      </c>
      <c r="H496" s="188">
        <v>3.65</v>
      </c>
      <c r="I496" s="188">
        <v>2</v>
      </c>
      <c r="J496" s="226" t="s">
        <v>26</v>
      </c>
      <c r="K496" s="188">
        <f>G496*H496*I496</f>
        <v>9.1980000000000004</v>
      </c>
    </row>
    <row r="497" spans="1:11" s="194" customFormat="1" ht="24.95" customHeight="1" x14ac:dyDescent="0.35">
      <c r="A497" s="189"/>
      <c r="B497" s="197"/>
      <c r="C497" s="192"/>
      <c r="D497" s="192"/>
      <c r="E497" s="250" t="s">
        <v>229</v>
      </c>
      <c r="F497" s="187"/>
      <c r="G497" s="188">
        <v>27.248999999999999</v>
      </c>
      <c r="H497" s="188"/>
      <c r="I497" s="188">
        <v>2</v>
      </c>
      <c r="J497" s="226" t="s">
        <v>26</v>
      </c>
      <c r="K497" s="188">
        <f>G497*I497</f>
        <v>54.497999999999998</v>
      </c>
    </row>
    <row r="498" spans="1:11" s="194" customFormat="1" ht="24.95" customHeight="1" x14ac:dyDescent="0.35">
      <c r="A498" s="189"/>
      <c r="B498" s="197"/>
      <c r="C498" s="192"/>
      <c r="D498" s="192"/>
      <c r="E498" s="250" t="s">
        <v>230</v>
      </c>
      <c r="F498" s="187"/>
      <c r="G498" s="188">
        <v>60.905000000000001</v>
      </c>
      <c r="H498" s="188"/>
      <c r="I498" s="188">
        <v>2</v>
      </c>
      <c r="J498" s="226" t="s">
        <v>26</v>
      </c>
      <c r="K498" s="188">
        <f>G498*I498</f>
        <v>121.81</v>
      </c>
    </row>
    <row r="499" spans="1:11" s="194" customFormat="1" ht="24.95" customHeight="1" x14ac:dyDescent="0.35">
      <c r="A499" s="189"/>
      <c r="B499" s="197"/>
      <c r="C499" s="192"/>
      <c r="D499" s="192"/>
      <c r="E499" s="250" t="s">
        <v>231</v>
      </c>
      <c r="F499" s="187"/>
      <c r="G499" s="188">
        <v>48.875999999999998</v>
      </c>
      <c r="H499" s="188"/>
      <c r="I499" s="188">
        <v>2</v>
      </c>
      <c r="J499" s="226" t="s">
        <v>26</v>
      </c>
      <c r="K499" s="188">
        <f>G499*I499</f>
        <v>97.751999999999995</v>
      </c>
    </row>
    <row r="500" spans="1:11" s="194" customFormat="1" ht="24.95" customHeight="1" x14ac:dyDescent="0.35">
      <c r="A500" s="189"/>
      <c r="B500" s="197"/>
      <c r="C500" s="192"/>
      <c r="D500" s="192"/>
      <c r="E500" s="250" t="s">
        <v>232</v>
      </c>
      <c r="F500" s="187"/>
      <c r="G500" s="188">
        <f>0.17+0.17+0.15+0.15</f>
        <v>0.64</v>
      </c>
      <c r="H500" s="188">
        <v>2.8</v>
      </c>
      <c r="I500" s="188">
        <v>2</v>
      </c>
      <c r="J500" s="226" t="s">
        <v>26</v>
      </c>
      <c r="K500" s="188">
        <f>G500*H500*I500</f>
        <v>3.5839999999999996</v>
      </c>
    </row>
    <row r="501" spans="1:11" s="194" customFormat="1" ht="24.95" customHeight="1" x14ac:dyDescent="0.35">
      <c r="A501" s="189"/>
      <c r="B501" s="197"/>
      <c r="C501" s="192"/>
      <c r="D501" s="192"/>
      <c r="E501" s="250" t="s">
        <v>233</v>
      </c>
      <c r="F501" s="187"/>
      <c r="G501" s="188">
        <v>67.245999999999995</v>
      </c>
      <c r="H501" s="188"/>
      <c r="I501" s="188">
        <v>2</v>
      </c>
      <c r="J501" s="226" t="s">
        <v>26</v>
      </c>
      <c r="K501" s="188">
        <f t="shared" ref="K501:K513" si="25">G501*I501</f>
        <v>134.49199999999999</v>
      </c>
    </row>
    <row r="502" spans="1:11" s="194" customFormat="1" ht="24.95" customHeight="1" x14ac:dyDescent="0.35">
      <c r="A502" s="189"/>
      <c r="B502" s="197"/>
      <c r="C502" s="192"/>
      <c r="D502" s="192"/>
      <c r="E502" s="250" t="s">
        <v>234</v>
      </c>
      <c r="F502" s="187"/>
      <c r="G502" s="188">
        <f>2.37+0.37</f>
        <v>2.74</v>
      </c>
      <c r="H502" s="188">
        <f>4-0.3</f>
        <v>3.7</v>
      </c>
      <c r="I502" s="188">
        <v>2</v>
      </c>
      <c r="J502" s="226" t="s">
        <v>26</v>
      </c>
      <c r="K502" s="188">
        <f t="shared" si="25"/>
        <v>5.48</v>
      </c>
    </row>
    <row r="503" spans="1:11" s="194" customFormat="1" ht="24.95" customHeight="1" x14ac:dyDescent="0.35">
      <c r="A503" s="189"/>
      <c r="B503" s="197"/>
      <c r="C503" s="192"/>
      <c r="D503" s="192"/>
      <c r="E503" s="250" t="s">
        <v>235</v>
      </c>
      <c r="F503" s="187"/>
      <c r="G503" s="188">
        <v>39.838500000000003</v>
      </c>
      <c r="H503" s="188"/>
      <c r="I503" s="188">
        <v>2</v>
      </c>
      <c r="J503" s="226" t="s">
        <v>26</v>
      </c>
      <c r="K503" s="188">
        <f t="shared" si="25"/>
        <v>79.677000000000007</v>
      </c>
    </row>
    <row r="504" spans="1:11" s="194" customFormat="1" ht="24.95" customHeight="1" x14ac:dyDescent="0.35">
      <c r="A504" s="189"/>
      <c r="B504" s="197"/>
      <c r="C504" s="192"/>
      <c r="D504" s="192"/>
      <c r="E504" s="250" t="s">
        <v>236</v>
      </c>
      <c r="F504" s="187"/>
      <c r="G504" s="188">
        <v>48.625300000000003</v>
      </c>
      <c r="H504" s="188"/>
      <c r="I504" s="188">
        <v>2</v>
      </c>
      <c r="J504" s="226" t="s">
        <v>26</v>
      </c>
      <c r="K504" s="188">
        <f t="shared" si="25"/>
        <v>97.250600000000006</v>
      </c>
    </row>
    <row r="505" spans="1:11" s="194" customFormat="1" ht="24.95" customHeight="1" x14ac:dyDescent="0.35">
      <c r="A505" s="189"/>
      <c r="B505" s="197"/>
      <c r="C505" s="192"/>
      <c r="D505" s="192"/>
      <c r="E505" s="250" t="s">
        <v>237</v>
      </c>
      <c r="F505" s="187"/>
      <c r="G505" s="188">
        <v>8.7575000000000003</v>
      </c>
      <c r="H505" s="188"/>
      <c r="I505" s="188">
        <v>2</v>
      </c>
      <c r="J505" s="226" t="s">
        <v>26</v>
      </c>
      <c r="K505" s="188">
        <f t="shared" si="25"/>
        <v>17.515000000000001</v>
      </c>
    </row>
    <row r="506" spans="1:11" s="194" customFormat="1" ht="24.95" customHeight="1" x14ac:dyDescent="0.35">
      <c r="A506" s="189"/>
      <c r="B506" s="197"/>
      <c r="C506" s="192"/>
      <c r="D506" s="192"/>
      <c r="E506" s="250" t="s">
        <v>238</v>
      </c>
      <c r="F506" s="187"/>
      <c r="G506" s="188">
        <f>0.23+0.18</f>
        <v>0.41000000000000003</v>
      </c>
      <c r="H506" s="188">
        <v>2.8</v>
      </c>
      <c r="I506" s="188">
        <v>2</v>
      </c>
      <c r="J506" s="226" t="s">
        <v>26</v>
      </c>
      <c r="K506" s="188">
        <f t="shared" si="25"/>
        <v>0.82000000000000006</v>
      </c>
    </row>
    <row r="507" spans="1:11" s="194" customFormat="1" ht="24.95" customHeight="1" x14ac:dyDescent="0.35">
      <c r="A507" s="189"/>
      <c r="B507" s="197"/>
      <c r="C507" s="192"/>
      <c r="D507" s="192"/>
      <c r="E507" s="250" t="s">
        <v>239</v>
      </c>
      <c r="F507" s="187"/>
      <c r="G507" s="188">
        <v>35.1203</v>
      </c>
      <c r="H507" s="188"/>
      <c r="I507" s="188">
        <v>2</v>
      </c>
      <c r="J507" s="226" t="s">
        <v>26</v>
      </c>
      <c r="K507" s="188">
        <f t="shared" si="25"/>
        <v>70.240600000000001</v>
      </c>
    </row>
    <row r="508" spans="1:11" s="194" customFormat="1" ht="24.95" customHeight="1" x14ac:dyDescent="0.35">
      <c r="A508" s="189"/>
      <c r="B508" s="197"/>
      <c r="C508" s="192"/>
      <c r="D508" s="192"/>
      <c r="E508" s="250" t="s">
        <v>240</v>
      </c>
      <c r="F508" s="187"/>
      <c r="G508" s="188">
        <v>34.018000000000001</v>
      </c>
      <c r="H508" s="188"/>
      <c r="I508" s="188">
        <v>2</v>
      </c>
      <c r="J508" s="226" t="s">
        <v>26</v>
      </c>
      <c r="K508" s="188">
        <f t="shared" si="25"/>
        <v>68.036000000000001</v>
      </c>
    </row>
    <row r="509" spans="1:11" s="194" customFormat="1" ht="24.95" customHeight="1" x14ac:dyDescent="0.35">
      <c r="A509" s="189"/>
      <c r="B509" s="197"/>
      <c r="C509" s="192"/>
      <c r="D509" s="192"/>
      <c r="E509" s="250" t="s">
        <v>241</v>
      </c>
      <c r="F509" s="187"/>
      <c r="G509" s="188">
        <v>12.913</v>
      </c>
      <c r="H509" s="188"/>
      <c r="I509" s="188">
        <v>2</v>
      </c>
      <c r="J509" s="226" t="s">
        <v>26</v>
      </c>
      <c r="K509" s="188">
        <f t="shared" si="25"/>
        <v>25.826000000000001</v>
      </c>
    </row>
    <row r="510" spans="1:11" s="194" customFormat="1" ht="24.95" customHeight="1" x14ac:dyDescent="0.35">
      <c r="A510" s="189"/>
      <c r="B510" s="197"/>
      <c r="C510" s="192"/>
      <c r="D510" s="192"/>
      <c r="E510" s="250" t="s">
        <v>242</v>
      </c>
      <c r="F510" s="187"/>
      <c r="G510" s="188">
        <v>3.774</v>
      </c>
      <c r="H510" s="188"/>
      <c r="I510" s="188">
        <v>4</v>
      </c>
      <c r="J510" s="226" t="s">
        <v>26</v>
      </c>
      <c r="K510" s="188">
        <f t="shared" si="25"/>
        <v>15.096</v>
      </c>
    </row>
    <row r="511" spans="1:11" s="194" customFormat="1" ht="24.95" customHeight="1" x14ac:dyDescent="0.35">
      <c r="A511" s="189"/>
      <c r="B511" s="197"/>
      <c r="C511" s="192"/>
      <c r="D511" s="192"/>
      <c r="E511" s="250" t="s">
        <v>243</v>
      </c>
      <c r="F511" s="187"/>
      <c r="G511" s="188">
        <v>1.37</v>
      </c>
      <c r="H511" s="188">
        <f>4-0.15</f>
        <v>3.85</v>
      </c>
      <c r="I511" s="188">
        <v>4</v>
      </c>
      <c r="J511" s="226" t="s">
        <v>26</v>
      </c>
      <c r="K511" s="188">
        <f t="shared" si="25"/>
        <v>5.48</v>
      </c>
    </row>
    <row r="512" spans="1:11" s="194" customFormat="1" ht="24.95" customHeight="1" x14ac:dyDescent="0.35">
      <c r="A512" s="189"/>
      <c r="B512" s="197"/>
      <c r="C512" s="192"/>
      <c r="D512" s="192"/>
      <c r="E512" s="250" t="s">
        <v>244</v>
      </c>
      <c r="F512" s="187"/>
      <c r="G512" s="188">
        <v>1.1299999999999999</v>
      </c>
      <c r="H512" s="188">
        <f>4-0.15</f>
        <v>3.85</v>
      </c>
      <c r="I512" s="188">
        <v>2</v>
      </c>
      <c r="J512" s="226" t="s">
        <v>26</v>
      </c>
      <c r="K512" s="188">
        <f t="shared" si="25"/>
        <v>2.2599999999999998</v>
      </c>
    </row>
    <row r="513" spans="1:11" s="194" customFormat="1" ht="24.95" customHeight="1" x14ac:dyDescent="0.35">
      <c r="A513" s="189"/>
      <c r="B513" s="197"/>
      <c r="C513" s="192"/>
      <c r="D513" s="192"/>
      <c r="E513" s="250" t="s">
        <v>245</v>
      </c>
      <c r="F513" s="187"/>
      <c r="G513" s="188">
        <f>0.87+0.37</f>
        <v>1.24</v>
      </c>
      <c r="H513" s="188">
        <f>4-0.15</f>
        <v>3.85</v>
      </c>
      <c r="I513" s="188">
        <v>2</v>
      </c>
      <c r="J513" s="226" t="s">
        <v>26</v>
      </c>
      <c r="K513" s="188">
        <f t="shared" si="25"/>
        <v>2.48</v>
      </c>
    </row>
    <row r="514" spans="1:11" s="194" customFormat="1" ht="24.95" customHeight="1" x14ac:dyDescent="0.35">
      <c r="A514" s="189"/>
      <c r="B514" s="197"/>
      <c r="C514" s="192"/>
      <c r="D514" s="192"/>
      <c r="E514" s="250" t="s">
        <v>265</v>
      </c>
      <c r="F514" s="187"/>
      <c r="G514" s="188">
        <f>1.63+0.76+2.87+0.76+1.65+2.63</f>
        <v>10.3</v>
      </c>
      <c r="H514" s="188">
        <f>10.25-8-0.3</f>
        <v>1.95</v>
      </c>
      <c r="I514" s="188">
        <v>1</v>
      </c>
      <c r="J514" s="226" t="s">
        <v>26</v>
      </c>
      <c r="K514" s="188">
        <f>G514*H514*I514</f>
        <v>20.085000000000001</v>
      </c>
    </row>
    <row r="515" spans="1:11" s="194" customFormat="1" ht="24.95" customHeight="1" x14ac:dyDescent="0.35">
      <c r="A515" s="189"/>
      <c r="B515" s="197"/>
      <c r="C515" s="192"/>
      <c r="D515" s="192"/>
      <c r="E515" s="250" t="s">
        <v>264</v>
      </c>
      <c r="F515" s="187"/>
      <c r="G515" s="188">
        <f>0.4+0.4+0.13+0.13+0.13+0.13</f>
        <v>1.3199999999999998</v>
      </c>
      <c r="H515" s="188">
        <v>3.3</v>
      </c>
      <c r="I515" s="188">
        <v>13</v>
      </c>
      <c r="J515" s="226" t="s">
        <v>26</v>
      </c>
      <c r="K515" s="188">
        <f>G515*H515*I515</f>
        <v>56.627999999999986</v>
      </c>
    </row>
    <row r="516" spans="1:11" s="194" customFormat="1" ht="24.95" customHeight="1" x14ac:dyDescent="0.35">
      <c r="A516" s="189"/>
      <c r="B516" s="190"/>
      <c r="C516" s="192"/>
      <c r="D516" s="192"/>
      <c r="E516" s="250" t="s">
        <v>253</v>
      </c>
      <c r="F516" s="187"/>
      <c r="G516" s="188">
        <f>0.35+0.35+0.11+0.11+0.11+0.11</f>
        <v>1.1400000000000001</v>
      </c>
      <c r="H516" s="188">
        <v>3.3</v>
      </c>
      <c r="I516" s="188">
        <v>28</v>
      </c>
      <c r="J516" s="226" t="s">
        <v>26</v>
      </c>
      <c r="K516" s="188">
        <f>G516*H516*I516</f>
        <v>105.336</v>
      </c>
    </row>
    <row r="517" spans="1:11" s="194" customFormat="1" ht="24.95" customHeight="1" thickBot="1" x14ac:dyDescent="0.4">
      <c r="A517" s="189"/>
      <c r="B517" s="519" t="s">
        <v>189</v>
      </c>
      <c r="C517" s="520"/>
      <c r="D517" s="520"/>
      <c r="E517" s="520"/>
      <c r="F517" s="520"/>
      <c r="G517" s="520"/>
      <c r="H517" s="520"/>
      <c r="I517" s="520"/>
      <c r="J517" s="521"/>
      <c r="K517" s="213">
        <f>SUM(K495:K516)</f>
        <v>1021.1822</v>
      </c>
    </row>
    <row r="518" spans="1:11" s="194" customFormat="1" ht="24.95" customHeight="1" x14ac:dyDescent="0.35">
      <c r="A518" s="189"/>
      <c r="B518" s="197">
        <v>4</v>
      </c>
      <c r="C518" s="192" t="e">
        <f>GEDUNG!#REF!</f>
        <v>#REF!</v>
      </c>
      <c r="D518" s="192"/>
      <c r="E518" s="193"/>
      <c r="F518" s="187"/>
      <c r="G518" s="188"/>
      <c r="H518" s="188"/>
      <c r="I518" s="188"/>
      <c r="J518" s="226"/>
      <c r="K518" s="188"/>
    </row>
    <row r="519" spans="1:11" s="194" customFormat="1" ht="24.95" customHeight="1" x14ac:dyDescent="0.35">
      <c r="A519" s="189"/>
      <c r="B519" s="190"/>
      <c r="C519" s="192"/>
      <c r="D519" s="192"/>
      <c r="E519" s="193"/>
      <c r="F519" s="187"/>
      <c r="G519" s="188"/>
      <c r="H519" s="188">
        <v>4</v>
      </c>
      <c r="I519" s="188">
        <v>4</v>
      </c>
      <c r="J519" s="226" t="s">
        <v>19</v>
      </c>
      <c r="K519" s="188">
        <f>H519*I519</f>
        <v>16</v>
      </c>
    </row>
    <row r="520" spans="1:11" s="194" customFormat="1" ht="24.95" customHeight="1" thickBot="1" x14ac:dyDescent="0.4">
      <c r="A520" s="189"/>
      <c r="B520" s="519" t="s">
        <v>189</v>
      </c>
      <c r="C520" s="520"/>
      <c r="D520" s="520"/>
      <c r="E520" s="520"/>
      <c r="F520" s="520"/>
      <c r="G520" s="520"/>
      <c r="H520" s="520"/>
      <c r="I520" s="520"/>
      <c r="J520" s="521"/>
      <c r="K520" s="213">
        <f>SUM(K519:K519)</f>
        <v>16</v>
      </c>
    </row>
    <row r="521" spans="1:11" s="194" customFormat="1" ht="24.95" customHeight="1" x14ac:dyDescent="0.35">
      <c r="A521" s="189"/>
      <c r="B521" s="197">
        <v>5</v>
      </c>
      <c r="C521" s="192" t="e">
        <f>GEDUNG!#REF!</f>
        <v>#REF!</v>
      </c>
      <c r="D521" s="192"/>
      <c r="E521" s="193"/>
      <c r="F521" s="187"/>
      <c r="G521" s="188"/>
      <c r="H521" s="188"/>
      <c r="I521" s="188"/>
      <c r="J521" s="226"/>
      <c r="K521" s="188"/>
    </row>
    <row r="522" spans="1:11" s="194" customFormat="1" ht="24.95" customHeight="1" x14ac:dyDescent="0.35">
      <c r="A522" s="189"/>
      <c r="B522" s="197"/>
      <c r="C522" s="192"/>
      <c r="D522" s="192"/>
      <c r="E522" s="193" t="s">
        <v>286</v>
      </c>
      <c r="F522" s="187"/>
      <c r="G522" s="188">
        <v>23.75</v>
      </c>
      <c r="H522" s="188"/>
      <c r="I522" s="188">
        <v>1</v>
      </c>
      <c r="J522" s="226" t="s">
        <v>19</v>
      </c>
      <c r="K522" s="188">
        <f>G522*I522</f>
        <v>23.75</v>
      </c>
    </row>
    <row r="523" spans="1:11" s="194" customFormat="1" ht="24.95" customHeight="1" x14ac:dyDescent="0.35">
      <c r="A523" s="189"/>
      <c r="B523" s="197"/>
      <c r="C523" s="192"/>
      <c r="D523" s="192"/>
      <c r="E523" s="193"/>
      <c r="F523" s="187"/>
      <c r="G523" s="188">
        <v>10.77</v>
      </c>
      <c r="H523" s="188"/>
      <c r="I523" s="188">
        <v>1</v>
      </c>
      <c r="J523" s="226" t="s">
        <v>19</v>
      </c>
      <c r="K523" s="188">
        <f>G523*I523</f>
        <v>10.77</v>
      </c>
    </row>
    <row r="524" spans="1:11" s="194" customFormat="1" ht="24.95" customHeight="1" x14ac:dyDescent="0.35">
      <c r="A524" s="189"/>
      <c r="B524" s="197"/>
      <c r="C524" s="192"/>
      <c r="D524" s="192"/>
      <c r="E524" s="193"/>
      <c r="F524" s="187"/>
      <c r="G524" s="188">
        <v>8.57</v>
      </c>
      <c r="H524" s="188"/>
      <c r="I524" s="188">
        <v>1</v>
      </c>
      <c r="J524" s="226" t="s">
        <v>19</v>
      </c>
      <c r="K524" s="188">
        <f>G524*I524</f>
        <v>8.57</v>
      </c>
    </row>
    <row r="525" spans="1:11" s="194" customFormat="1" ht="24.95" customHeight="1" x14ac:dyDescent="0.35">
      <c r="A525" s="189"/>
      <c r="B525" s="197"/>
      <c r="C525" s="192"/>
      <c r="D525" s="192"/>
      <c r="E525" s="193"/>
      <c r="F525" s="187"/>
      <c r="G525" s="188">
        <f>5.83+0.4</f>
        <v>6.23</v>
      </c>
      <c r="H525" s="188"/>
      <c r="I525" s="188">
        <v>1</v>
      </c>
      <c r="J525" s="226" t="s">
        <v>19</v>
      </c>
      <c r="K525" s="188">
        <f>G525*I525</f>
        <v>6.23</v>
      </c>
    </row>
    <row r="526" spans="1:11" s="194" customFormat="1" ht="24.95" customHeight="1" x14ac:dyDescent="0.35">
      <c r="A526" s="189"/>
      <c r="B526" s="197"/>
      <c r="C526" s="192"/>
      <c r="D526" s="192"/>
      <c r="E526" s="193" t="s">
        <v>287</v>
      </c>
      <c r="F526" s="187"/>
      <c r="G526" s="188">
        <v>2.65</v>
      </c>
      <c r="H526" s="188"/>
      <c r="I526" s="188">
        <v>20</v>
      </c>
      <c r="J526" s="226" t="s">
        <v>19</v>
      </c>
      <c r="K526" s="188">
        <f>G526*I526</f>
        <v>53</v>
      </c>
    </row>
    <row r="527" spans="1:11" s="194" customFormat="1" ht="24.95" customHeight="1" thickBot="1" x14ac:dyDescent="0.4">
      <c r="A527" s="189"/>
      <c r="B527" s="519" t="s">
        <v>189</v>
      </c>
      <c r="C527" s="520"/>
      <c r="D527" s="520"/>
      <c r="E527" s="520"/>
      <c r="F527" s="520"/>
      <c r="G527" s="520"/>
      <c r="H527" s="520"/>
      <c r="I527" s="520"/>
      <c r="J527" s="521"/>
      <c r="K527" s="213">
        <f>SUM(K522:K526)</f>
        <v>102.32</v>
      </c>
    </row>
    <row r="528" spans="1:11" s="194" customFormat="1" ht="24.95" customHeight="1" x14ac:dyDescent="0.35">
      <c r="A528" s="189"/>
      <c r="B528" s="197">
        <v>8</v>
      </c>
      <c r="C528" s="192">
        <f>GEDUNG!D105</f>
        <v>0</v>
      </c>
      <c r="D528" s="192"/>
      <c r="E528" s="193"/>
      <c r="F528" s="187"/>
      <c r="G528" s="188"/>
      <c r="H528" s="188"/>
      <c r="I528" s="188"/>
      <c r="J528" s="226"/>
      <c r="K528" s="188"/>
    </row>
    <row r="529" spans="1:11" s="194" customFormat="1" ht="24.95" customHeight="1" x14ac:dyDescent="0.35">
      <c r="A529" s="189"/>
      <c r="B529" s="190"/>
      <c r="C529" s="192"/>
      <c r="D529" s="192"/>
      <c r="E529" s="193"/>
      <c r="F529" s="187"/>
      <c r="G529" s="188">
        <v>11.366899999999999</v>
      </c>
      <c r="H529" s="188"/>
      <c r="I529" s="188">
        <v>1</v>
      </c>
      <c r="J529" s="226" t="s">
        <v>26</v>
      </c>
      <c r="K529" s="188">
        <f>G529*I529</f>
        <v>11.366899999999999</v>
      </c>
    </row>
    <row r="530" spans="1:11" s="194" customFormat="1" ht="24.95" customHeight="1" thickBot="1" x14ac:dyDescent="0.4">
      <c r="A530" s="189"/>
      <c r="B530" s="516" t="s">
        <v>189</v>
      </c>
      <c r="C530" s="517"/>
      <c r="D530" s="517"/>
      <c r="E530" s="517"/>
      <c r="F530" s="517"/>
      <c r="G530" s="517"/>
      <c r="H530" s="517"/>
      <c r="I530" s="517"/>
      <c r="J530" s="518"/>
      <c r="K530" s="213">
        <f>SUM(K529:K529)</f>
        <v>11.366899999999999</v>
      </c>
    </row>
    <row r="531" spans="1:11" s="194" customFormat="1" ht="24.95" customHeight="1" x14ac:dyDescent="0.35">
      <c r="A531" s="195" t="s">
        <v>61</v>
      </c>
      <c r="B531" s="201" t="str">
        <f>GEDUNG!D107</f>
        <v>PEKERJAAN LANTAI</v>
      </c>
      <c r="C531" s="192"/>
      <c r="D531" s="192"/>
      <c r="E531" s="193"/>
      <c r="F531" s="187"/>
      <c r="G531" s="188"/>
      <c r="H531" s="188"/>
      <c r="I531" s="188"/>
      <c r="J531" s="226"/>
      <c r="K531" s="188"/>
    </row>
    <row r="532" spans="1:11" s="194" customFormat="1" ht="24.95" customHeight="1" x14ac:dyDescent="0.35">
      <c r="A532" s="195"/>
      <c r="B532" s="197" t="str">
        <f>GEDUNG!D108</f>
        <v>LANTAI I</v>
      </c>
      <c r="C532" s="192"/>
      <c r="D532" s="192"/>
      <c r="E532" s="193"/>
      <c r="F532" s="187"/>
      <c r="G532" s="188"/>
      <c r="H532" s="188"/>
      <c r="I532" s="188"/>
      <c r="J532" s="226"/>
      <c r="K532" s="188"/>
    </row>
    <row r="533" spans="1:11" s="194" customFormat="1" ht="24.95" customHeight="1" x14ac:dyDescent="0.35">
      <c r="A533" s="189"/>
      <c r="B533" s="197">
        <v>1</v>
      </c>
      <c r="C533" s="192" t="str">
        <f>GEDUNG!D110</f>
        <v>Pek. Lantai Ruangan, Roman Granit 60x60 cm type Glossy. DDayton Beige GT602139CT, Interior</v>
      </c>
      <c r="D533" s="192"/>
      <c r="E533" s="193"/>
      <c r="F533" s="187"/>
      <c r="G533" s="188"/>
      <c r="H533" s="188"/>
      <c r="I533" s="188"/>
      <c r="J533" s="226"/>
      <c r="K533" s="188"/>
    </row>
    <row r="534" spans="1:11" s="194" customFormat="1" ht="24.95" customHeight="1" x14ac:dyDescent="0.35">
      <c r="A534" s="189"/>
      <c r="B534" s="190"/>
      <c r="C534" s="192"/>
      <c r="D534" s="192"/>
      <c r="E534" s="193"/>
      <c r="F534" s="187"/>
      <c r="G534" s="188">
        <v>337.9973</v>
      </c>
      <c r="H534" s="188"/>
      <c r="I534" s="188">
        <v>1</v>
      </c>
      <c r="J534" s="226" t="s">
        <v>26</v>
      </c>
      <c r="K534" s="188">
        <f>G534*I534</f>
        <v>337.9973</v>
      </c>
    </row>
    <row r="535" spans="1:11" s="194" customFormat="1" ht="24.95" customHeight="1" thickBot="1" x14ac:dyDescent="0.4">
      <c r="A535" s="189"/>
      <c r="B535" s="516" t="s">
        <v>189</v>
      </c>
      <c r="C535" s="517"/>
      <c r="D535" s="517"/>
      <c r="E535" s="517"/>
      <c r="F535" s="517"/>
      <c r="G535" s="517"/>
      <c r="H535" s="517"/>
      <c r="I535" s="517"/>
      <c r="J535" s="518"/>
      <c r="K535" s="213">
        <f>SUM(K534:K534)</f>
        <v>337.9973</v>
      </c>
    </row>
    <row r="536" spans="1:11" s="194" customFormat="1" ht="24.95" customHeight="1" x14ac:dyDescent="0.35">
      <c r="A536" s="189"/>
      <c r="B536" s="197">
        <v>2</v>
      </c>
      <c r="C536" s="192" t="str">
        <f>GEDUNG!D111</f>
        <v>Pek. Lantai Roman Granit 60x60 cm type Matt, Ddaytona Beige GT 632139CR, Exterior</v>
      </c>
      <c r="D536" s="192"/>
      <c r="E536" s="193"/>
      <c r="F536" s="187"/>
      <c r="G536" s="188"/>
      <c r="H536" s="188"/>
      <c r="I536" s="188"/>
      <c r="J536" s="226"/>
      <c r="K536" s="188"/>
    </row>
    <row r="537" spans="1:11" s="194" customFormat="1" ht="24" customHeight="1" x14ac:dyDescent="0.35">
      <c r="A537" s="189"/>
      <c r="B537" s="190"/>
      <c r="C537" s="192"/>
      <c r="D537" s="192"/>
      <c r="E537" s="193"/>
      <c r="F537" s="187"/>
      <c r="G537" s="188">
        <v>17.4084</v>
      </c>
      <c r="H537" s="188"/>
      <c r="I537" s="188">
        <v>1</v>
      </c>
      <c r="J537" s="226" t="s">
        <v>26</v>
      </c>
      <c r="K537" s="188">
        <f>G537*I537</f>
        <v>17.4084</v>
      </c>
    </row>
    <row r="538" spans="1:11" s="194" customFormat="1" ht="24" customHeight="1" x14ac:dyDescent="0.35">
      <c r="A538" s="189"/>
      <c r="B538" s="190"/>
      <c r="C538" s="192"/>
      <c r="D538" s="192"/>
      <c r="E538" s="193" t="s">
        <v>266</v>
      </c>
      <c r="F538" s="187"/>
      <c r="G538" s="188">
        <f>11.24+4.5+3.9+4.03+3.43</f>
        <v>27.1</v>
      </c>
      <c r="H538" s="188">
        <v>0.2</v>
      </c>
      <c r="I538" s="188">
        <v>1</v>
      </c>
      <c r="J538" s="226" t="s">
        <v>26</v>
      </c>
      <c r="K538" s="188">
        <f>G538*H538</f>
        <v>5.4200000000000008</v>
      </c>
    </row>
    <row r="539" spans="1:11" s="194" customFormat="1" ht="24.95" customHeight="1" thickBot="1" x14ac:dyDescent="0.4">
      <c r="A539" s="189"/>
      <c r="B539" s="516" t="s">
        <v>189</v>
      </c>
      <c r="C539" s="517"/>
      <c r="D539" s="517"/>
      <c r="E539" s="517"/>
      <c r="F539" s="517"/>
      <c r="G539" s="517"/>
      <c r="H539" s="517"/>
      <c r="I539" s="517"/>
      <c r="J539" s="518"/>
      <c r="K539" s="213">
        <f>SUM(K537:K538)</f>
        <v>22.828400000000002</v>
      </c>
    </row>
    <row r="540" spans="1:11" s="194" customFormat="1" ht="24.95" customHeight="1" x14ac:dyDescent="0.35">
      <c r="A540" s="189"/>
      <c r="B540" s="197">
        <v>3</v>
      </c>
      <c r="C540" s="192" t="e">
        <f>GEDUNG!#REF!</f>
        <v>#REF!</v>
      </c>
      <c r="D540" s="192"/>
      <c r="E540" s="193"/>
      <c r="F540" s="187"/>
      <c r="G540" s="188"/>
      <c r="H540" s="188"/>
      <c r="I540" s="188"/>
      <c r="J540" s="226"/>
      <c r="K540" s="188"/>
    </row>
    <row r="541" spans="1:11" s="194" customFormat="1" ht="24" customHeight="1" x14ac:dyDescent="0.35">
      <c r="A541" s="189"/>
      <c r="B541" s="190"/>
      <c r="C541" s="192"/>
      <c r="D541" s="192"/>
      <c r="E541" s="193" t="s">
        <v>267</v>
      </c>
      <c r="F541" s="187"/>
      <c r="G541" s="188">
        <f>36.064+3.83</f>
        <v>39.893999999999998</v>
      </c>
      <c r="H541" s="188"/>
      <c r="I541" s="188">
        <v>1</v>
      </c>
      <c r="J541" s="226" t="s">
        <v>26</v>
      </c>
      <c r="K541" s="188">
        <f>G541*I541</f>
        <v>39.893999999999998</v>
      </c>
    </row>
    <row r="542" spans="1:11" s="194" customFormat="1" ht="24" customHeight="1" x14ac:dyDescent="0.35">
      <c r="A542" s="189"/>
      <c r="B542" s="190"/>
      <c r="C542" s="192"/>
      <c r="D542" s="192"/>
      <c r="E542" s="193" t="s">
        <v>268</v>
      </c>
      <c r="F542" s="187"/>
      <c r="G542" s="188">
        <f>34.23+2.08</f>
        <v>36.309999999999995</v>
      </c>
      <c r="H542" s="188"/>
      <c r="I542" s="188">
        <v>1</v>
      </c>
      <c r="J542" s="226" t="s">
        <v>26</v>
      </c>
      <c r="K542" s="188">
        <f>G542*I542</f>
        <v>36.309999999999995</v>
      </c>
    </row>
    <row r="543" spans="1:11" s="194" customFormat="1" ht="24" customHeight="1" x14ac:dyDescent="0.35">
      <c r="A543" s="189"/>
      <c r="B543" s="190"/>
      <c r="C543" s="192"/>
      <c r="D543" s="192"/>
      <c r="E543" s="193" t="s">
        <v>269</v>
      </c>
      <c r="F543" s="187"/>
      <c r="G543" s="188">
        <v>2.17</v>
      </c>
      <c r="H543" s="188"/>
      <c r="I543" s="188">
        <v>1</v>
      </c>
      <c r="J543" s="226" t="s">
        <v>26</v>
      </c>
      <c r="K543" s="188">
        <f>G543*I543</f>
        <v>2.17</v>
      </c>
    </row>
    <row r="544" spans="1:11" s="194" customFormat="1" ht="24.95" customHeight="1" thickBot="1" x14ac:dyDescent="0.4">
      <c r="A544" s="189"/>
      <c r="B544" s="516" t="s">
        <v>189</v>
      </c>
      <c r="C544" s="517"/>
      <c r="D544" s="517"/>
      <c r="E544" s="517"/>
      <c r="F544" s="517"/>
      <c r="G544" s="517"/>
      <c r="H544" s="517"/>
      <c r="I544" s="517"/>
      <c r="J544" s="518"/>
      <c r="K544" s="213">
        <f>SUM(K541:K543)</f>
        <v>78.373999999999995</v>
      </c>
    </row>
    <row r="545" spans="1:11" s="194" customFormat="1" ht="24.95" customHeight="1" x14ac:dyDescent="0.35">
      <c r="A545" s="189"/>
      <c r="B545" s="197">
        <v>4</v>
      </c>
      <c r="C545" s="192" t="e">
        <f>GEDUNG!#REF!</f>
        <v>#REF!</v>
      </c>
      <c r="D545" s="192"/>
      <c r="E545" s="193"/>
      <c r="F545" s="187"/>
      <c r="G545" s="188"/>
      <c r="H545" s="188"/>
      <c r="I545" s="188"/>
      <c r="J545" s="226"/>
      <c r="K545" s="188"/>
    </row>
    <row r="546" spans="1:11" s="194" customFormat="1" ht="24" customHeight="1" x14ac:dyDescent="0.35">
      <c r="A546" s="189"/>
      <c r="B546" s="190"/>
      <c r="C546" s="192"/>
      <c r="D546" s="192"/>
      <c r="E546" s="193"/>
      <c r="F546" s="187"/>
      <c r="G546" s="188">
        <v>14.9269</v>
      </c>
      <c r="H546" s="188"/>
      <c r="I546" s="188">
        <v>1</v>
      </c>
      <c r="J546" s="226" t="s">
        <v>26</v>
      </c>
      <c r="K546" s="188">
        <f>G546*I546</f>
        <v>14.9269</v>
      </c>
    </row>
    <row r="547" spans="1:11" s="194" customFormat="1" ht="24" customHeight="1" x14ac:dyDescent="0.35">
      <c r="A547" s="189"/>
      <c r="B547" s="190"/>
      <c r="C547" s="192"/>
      <c r="D547" s="192"/>
      <c r="E547" s="193" t="s">
        <v>266</v>
      </c>
      <c r="F547" s="187"/>
      <c r="G547" s="188">
        <v>1.67</v>
      </c>
      <c r="H547" s="188">
        <v>0.2</v>
      </c>
      <c r="I547" s="188">
        <v>11</v>
      </c>
      <c r="J547" s="226" t="s">
        <v>26</v>
      </c>
      <c r="K547" s="188">
        <f>G547*I547</f>
        <v>18.369999999999997</v>
      </c>
    </row>
    <row r="548" spans="1:11" s="194" customFormat="1" ht="24" customHeight="1" x14ac:dyDescent="0.35">
      <c r="A548" s="189"/>
      <c r="B548" s="190"/>
      <c r="C548" s="192"/>
      <c r="D548" s="192"/>
      <c r="E548" s="193" t="s">
        <v>266</v>
      </c>
      <c r="F548" s="187"/>
      <c r="G548" s="188">
        <v>1.78</v>
      </c>
      <c r="H548" s="188">
        <v>0.2</v>
      </c>
      <c r="I548" s="188">
        <v>10</v>
      </c>
      <c r="J548" s="226" t="s">
        <v>26</v>
      </c>
      <c r="K548" s="188">
        <f>G548*I548</f>
        <v>17.8</v>
      </c>
    </row>
    <row r="549" spans="1:11" s="194" customFormat="1" ht="24.95" customHeight="1" thickBot="1" x14ac:dyDescent="0.4">
      <c r="A549" s="189"/>
      <c r="B549" s="516" t="s">
        <v>189</v>
      </c>
      <c r="C549" s="517"/>
      <c r="D549" s="517"/>
      <c r="E549" s="517"/>
      <c r="F549" s="517"/>
      <c r="G549" s="517"/>
      <c r="H549" s="517"/>
      <c r="I549" s="517"/>
      <c r="J549" s="518"/>
      <c r="K549" s="213">
        <f>SUM(K546:K548)</f>
        <v>51.096899999999991</v>
      </c>
    </row>
    <row r="550" spans="1:11" s="194" customFormat="1" ht="24.95" customHeight="1" x14ac:dyDescent="0.35">
      <c r="A550" s="189"/>
      <c r="B550" s="197">
        <v>5</v>
      </c>
      <c r="C550" s="192" t="str">
        <f>GEDUNG!D114</f>
        <v>Pek. Lantai Toilet, Roman Granit 60x60 cm Toilet Type Matt, Dstanford</v>
      </c>
      <c r="D550" s="192"/>
      <c r="E550" s="193"/>
      <c r="F550" s="187"/>
      <c r="G550" s="188"/>
      <c r="H550" s="188"/>
      <c r="I550" s="188"/>
      <c r="J550" s="226"/>
      <c r="K550" s="188"/>
    </row>
    <row r="551" spans="1:11" s="194" customFormat="1" ht="24" customHeight="1" x14ac:dyDescent="0.35">
      <c r="A551" s="189"/>
      <c r="B551" s="190"/>
      <c r="C551" s="192"/>
      <c r="D551" s="192"/>
      <c r="E551" s="193"/>
      <c r="F551" s="187"/>
      <c r="G551" s="188">
        <v>4.6677999999999997</v>
      </c>
      <c r="H551" s="188"/>
      <c r="I551" s="188">
        <v>1</v>
      </c>
      <c r="J551" s="226" t="s">
        <v>26</v>
      </c>
      <c r="K551" s="188">
        <f>G551*I551</f>
        <v>4.6677999999999997</v>
      </c>
    </row>
    <row r="552" spans="1:11" s="194" customFormat="1" ht="24" customHeight="1" x14ac:dyDescent="0.35">
      <c r="A552" s="189"/>
      <c r="B552" s="190"/>
      <c r="C552" s="192"/>
      <c r="D552" s="192"/>
      <c r="E552" s="193"/>
      <c r="F552" s="187"/>
      <c r="G552" s="188">
        <v>7.3693</v>
      </c>
      <c r="H552" s="188"/>
      <c r="I552" s="188">
        <v>1</v>
      </c>
      <c r="J552" s="226" t="s">
        <v>26</v>
      </c>
      <c r="K552" s="188">
        <f>G552*I552</f>
        <v>7.3693</v>
      </c>
    </row>
    <row r="553" spans="1:11" s="194" customFormat="1" ht="24.95" customHeight="1" thickBot="1" x14ac:dyDescent="0.4">
      <c r="A553" s="189"/>
      <c r="B553" s="516" t="s">
        <v>189</v>
      </c>
      <c r="C553" s="517"/>
      <c r="D553" s="517"/>
      <c r="E553" s="517"/>
      <c r="F553" s="517"/>
      <c r="G553" s="517"/>
      <c r="H553" s="517"/>
      <c r="I553" s="517"/>
      <c r="J553" s="518"/>
      <c r="K553" s="213">
        <f>SUM(K551:K552)</f>
        <v>12.037099999999999</v>
      </c>
    </row>
    <row r="554" spans="1:11" s="194" customFormat="1" ht="24.95" customHeight="1" x14ac:dyDescent="0.35">
      <c r="A554" s="189"/>
      <c r="B554" s="197">
        <v>6</v>
      </c>
      <c r="C554" s="192" t="str">
        <f>GEDUNG!D115</f>
        <v>Pek. Dinding keramik , Roman Granit 60X30 Type Glossy, Dstanford</v>
      </c>
      <c r="D554" s="192"/>
      <c r="E554" s="193"/>
      <c r="F554" s="187"/>
      <c r="G554" s="188"/>
      <c r="H554" s="188"/>
      <c r="I554" s="188"/>
      <c r="J554" s="226"/>
      <c r="K554" s="188"/>
    </row>
    <row r="555" spans="1:11" s="194" customFormat="1" ht="24" customHeight="1" x14ac:dyDescent="0.35">
      <c r="A555" s="189"/>
      <c r="B555" s="190"/>
      <c r="C555" s="192"/>
      <c r="D555" s="192"/>
      <c r="E555" s="193"/>
      <c r="F555" s="187"/>
      <c r="G555" s="188">
        <v>3.73</v>
      </c>
      <c r="H555" s="188">
        <f>0.4*5</f>
        <v>2</v>
      </c>
      <c r="I555" s="188">
        <v>4</v>
      </c>
      <c r="J555" s="226" t="s">
        <v>26</v>
      </c>
      <c r="K555" s="188">
        <f>G555*H555*I555</f>
        <v>29.84</v>
      </c>
    </row>
    <row r="556" spans="1:11" s="194" customFormat="1" ht="24" customHeight="1" x14ac:dyDescent="0.35">
      <c r="A556" s="189"/>
      <c r="B556" s="190"/>
      <c r="C556" s="192"/>
      <c r="D556" s="192"/>
      <c r="E556" s="193"/>
      <c r="F556" s="187"/>
      <c r="G556" s="188">
        <v>2.62</v>
      </c>
      <c r="H556" s="188">
        <f>0.4*5</f>
        <v>2</v>
      </c>
      <c r="I556" s="188">
        <v>1</v>
      </c>
      <c r="J556" s="226" t="s">
        <v>26</v>
      </c>
      <c r="K556" s="188">
        <f>G556*H556*I556</f>
        <v>5.24</v>
      </c>
    </row>
    <row r="557" spans="1:11" s="194" customFormat="1" ht="24" customHeight="1" x14ac:dyDescent="0.35">
      <c r="A557" s="189"/>
      <c r="B557" s="190"/>
      <c r="C557" s="192"/>
      <c r="D557" s="192"/>
      <c r="E557" s="193"/>
      <c r="F557" s="187"/>
      <c r="G557" s="188">
        <v>1.49</v>
      </c>
      <c r="H557" s="188">
        <f>0.4*5</f>
        <v>2</v>
      </c>
      <c r="I557" s="188">
        <v>1</v>
      </c>
      <c r="J557" s="226" t="s">
        <v>26</v>
      </c>
      <c r="K557" s="188">
        <f>G557*H557*I557</f>
        <v>2.98</v>
      </c>
    </row>
    <row r="558" spans="1:11" s="194" customFormat="1" ht="24" customHeight="1" x14ac:dyDescent="0.35">
      <c r="A558" s="189"/>
      <c r="B558" s="190"/>
      <c r="C558" s="192"/>
      <c r="D558" s="192"/>
      <c r="E558" s="193"/>
      <c r="F558" s="187"/>
      <c r="G558" s="188">
        <v>6.7080000000000002</v>
      </c>
      <c r="H558" s="188">
        <f>0.4*5</f>
        <v>2</v>
      </c>
      <c r="I558" s="188">
        <v>1</v>
      </c>
      <c r="J558" s="226" t="s">
        <v>26</v>
      </c>
      <c r="K558" s="188">
        <f>G558*H558*I558</f>
        <v>13.416</v>
      </c>
    </row>
    <row r="559" spans="1:11" s="194" customFormat="1" ht="24" customHeight="1" x14ac:dyDescent="0.35">
      <c r="A559" s="189"/>
      <c r="B559" s="190"/>
      <c r="C559" s="192"/>
      <c r="D559" s="192"/>
      <c r="E559" s="193"/>
      <c r="F559" s="187"/>
      <c r="G559" s="188">
        <v>1.49</v>
      </c>
      <c r="H559" s="188">
        <f>0.4*5</f>
        <v>2</v>
      </c>
      <c r="I559" s="188">
        <v>1</v>
      </c>
      <c r="J559" s="226" t="s">
        <v>26</v>
      </c>
      <c r="K559" s="188">
        <f>G559*H559*I559</f>
        <v>2.98</v>
      </c>
    </row>
    <row r="560" spans="1:11" s="194" customFormat="1" ht="24.95" customHeight="1" thickBot="1" x14ac:dyDescent="0.4">
      <c r="A560" s="189"/>
      <c r="B560" s="516" t="s">
        <v>189</v>
      </c>
      <c r="C560" s="517"/>
      <c r="D560" s="517"/>
      <c r="E560" s="517"/>
      <c r="F560" s="517"/>
      <c r="G560" s="517"/>
      <c r="H560" s="517"/>
      <c r="I560" s="517"/>
      <c r="J560" s="518"/>
      <c r="K560" s="213">
        <f>SUM(K555:K559)</f>
        <v>54.455999999999996</v>
      </c>
    </row>
    <row r="561" spans="1:11" s="194" customFormat="1" ht="24.95" customHeight="1" x14ac:dyDescent="0.35">
      <c r="A561" s="189"/>
      <c r="B561" s="197">
        <v>7</v>
      </c>
      <c r="C561" s="192" t="e">
        <f>GEDUNG!#REF!</f>
        <v>#REF!</v>
      </c>
      <c r="D561" s="192"/>
      <c r="E561" s="193"/>
      <c r="F561" s="187"/>
      <c r="G561" s="188"/>
      <c r="H561" s="188"/>
      <c r="I561" s="188"/>
      <c r="J561" s="226"/>
      <c r="K561" s="188"/>
    </row>
    <row r="562" spans="1:11" s="194" customFormat="1" ht="24.95" customHeight="1" x14ac:dyDescent="0.35">
      <c r="A562" s="189"/>
      <c r="B562" s="190"/>
      <c r="C562" s="192"/>
      <c r="D562" s="192"/>
      <c r="E562" s="193" t="s">
        <v>248</v>
      </c>
      <c r="F562" s="187"/>
      <c r="G562" s="188">
        <f>0.4*4</f>
        <v>1.6</v>
      </c>
      <c r="H562" s="188">
        <v>2.15</v>
      </c>
      <c r="I562" s="188">
        <v>12</v>
      </c>
      <c r="J562" s="226" t="s">
        <v>19</v>
      </c>
      <c r="K562" s="188">
        <f>G562*H562*I562</f>
        <v>41.28</v>
      </c>
    </row>
    <row r="563" spans="1:11" s="194" customFormat="1" ht="24.95" customHeight="1" x14ac:dyDescent="0.35">
      <c r="A563" s="189"/>
      <c r="B563" s="190"/>
      <c r="C563" s="192"/>
      <c r="D563" s="192"/>
      <c r="E563" s="193" t="s">
        <v>195</v>
      </c>
      <c r="F563" s="187"/>
      <c r="G563" s="188">
        <v>9.32</v>
      </c>
      <c r="H563" s="188">
        <v>1.1000000000000001</v>
      </c>
      <c r="I563" s="188">
        <v>1</v>
      </c>
      <c r="J563" s="226" t="s">
        <v>19</v>
      </c>
      <c r="K563" s="188">
        <f>G563*H563*I563</f>
        <v>10.252000000000001</v>
      </c>
    </row>
    <row r="564" spans="1:11" s="194" customFormat="1" ht="24.95" customHeight="1" x14ac:dyDescent="0.35">
      <c r="A564" s="189"/>
      <c r="B564" s="190"/>
      <c r="C564" s="192"/>
      <c r="D564" s="192"/>
      <c r="E564" s="193" t="s">
        <v>195</v>
      </c>
      <c r="F564" s="187"/>
      <c r="G564" s="188">
        <v>2.46</v>
      </c>
      <c r="H564" s="188">
        <v>0.8</v>
      </c>
      <c r="I564" s="188">
        <v>1</v>
      </c>
      <c r="J564" s="226" t="s">
        <v>19</v>
      </c>
      <c r="K564" s="188">
        <f>G564*H564*I564</f>
        <v>1.968</v>
      </c>
    </row>
    <row r="565" spans="1:11" s="194" customFormat="1" ht="24.95" customHeight="1" x14ac:dyDescent="0.35">
      <c r="A565" s="189"/>
      <c r="B565" s="190"/>
      <c r="C565" s="192"/>
      <c r="D565" s="192"/>
      <c r="E565" s="193" t="s">
        <v>196</v>
      </c>
      <c r="F565" s="187"/>
      <c r="G565" s="188">
        <v>9.91</v>
      </c>
      <c r="H565" s="188">
        <v>1.3</v>
      </c>
      <c r="I565" s="188">
        <v>1</v>
      </c>
      <c r="J565" s="226" t="s">
        <v>19</v>
      </c>
      <c r="K565" s="188">
        <f>G565*H565*I565</f>
        <v>12.883000000000001</v>
      </c>
    </row>
    <row r="566" spans="1:11" s="194" customFormat="1" ht="24.95" customHeight="1" x14ac:dyDescent="0.35">
      <c r="A566" s="189"/>
      <c r="B566" s="190"/>
      <c r="C566" s="192"/>
      <c r="D566" s="192"/>
      <c r="E566" s="193"/>
      <c r="F566" s="187"/>
      <c r="G566" s="188">
        <v>0.93</v>
      </c>
      <c r="H566" s="188">
        <v>0.5</v>
      </c>
      <c r="I566" s="188">
        <v>4</v>
      </c>
      <c r="J566" s="226" t="s">
        <v>19</v>
      </c>
      <c r="K566" s="188">
        <f>G566*I566</f>
        <v>3.72</v>
      </c>
    </row>
    <row r="567" spans="1:11" s="194" customFormat="1" ht="24.95" customHeight="1" thickBot="1" x14ac:dyDescent="0.4">
      <c r="A567" s="189"/>
      <c r="B567" s="516" t="s">
        <v>189</v>
      </c>
      <c r="C567" s="517"/>
      <c r="D567" s="517"/>
      <c r="E567" s="517"/>
      <c r="F567" s="517"/>
      <c r="G567" s="517"/>
      <c r="H567" s="517"/>
      <c r="I567" s="517"/>
      <c r="J567" s="518"/>
      <c r="K567" s="213">
        <f>SUM(K562:K566)</f>
        <v>70.102999999999994</v>
      </c>
    </row>
    <row r="568" spans="1:11" s="194" customFormat="1" ht="24.95" customHeight="1" x14ac:dyDescent="0.35">
      <c r="A568" s="189"/>
      <c r="B568" s="197">
        <v>8</v>
      </c>
      <c r="C568" s="192" t="e">
        <f>GEDUNG!#REF!</f>
        <v>#REF!</v>
      </c>
      <c r="D568" s="192"/>
      <c r="E568" s="193"/>
      <c r="F568" s="187"/>
      <c r="G568" s="188"/>
      <c r="H568" s="188"/>
      <c r="I568" s="188"/>
      <c r="J568" s="226"/>
      <c r="K568" s="188"/>
    </row>
    <row r="569" spans="1:11" s="194" customFormat="1" ht="24.95" customHeight="1" x14ac:dyDescent="0.35">
      <c r="A569" s="189"/>
      <c r="B569" s="190"/>
      <c r="C569" s="192"/>
      <c r="D569" s="192"/>
      <c r="E569" s="193"/>
      <c r="F569" s="187"/>
      <c r="G569" s="188">
        <v>10.32</v>
      </c>
      <c r="H569" s="188">
        <f>0.45+0.2+0.2</f>
        <v>0.85000000000000009</v>
      </c>
      <c r="I569" s="188">
        <v>1</v>
      </c>
      <c r="J569" s="226" t="s">
        <v>26</v>
      </c>
      <c r="K569" s="188">
        <f>G569*H569*I569</f>
        <v>8.772000000000002</v>
      </c>
    </row>
    <row r="570" spans="1:11" s="194" customFormat="1" ht="24.95" customHeight="1" thickBot="1" x14ac:dyDescent="0.4">
      <c r="A570" s="189"/>
      <c r="B570" s="516" t="s">
        <v>189</v>
      </c>
      <c r="C570" s="517"/>
      <c r="D570" s="517"/>
      <c r="E570" s="517"/>
      <c r="F570" s="517"/>
      <c r="G570" s="517"/>
      <c r="H570" s="517"/>
      <c r="I570" s="517"/>
      <c r="J570" s="518"/>
      <c r="K570" s="213">
        <f>SUM(K569:K569)</f>
        <v>8.772000000000002</v>
      </c>
    </row>
    <row r="571" spans="1:11" s="194" customFormat="1" ht="24.95" customHeight="1" x14ac:dyDescent="0.35">
      <c r="A571" s="195"/>
      <c r="B571" s="197" t="str">
        <f>GEDUNG!D118</f>
        <v>LANTAI II</v>
      </c>
      <c r="C571" s="192"/>
      <c r="D571" s="192"/>
      <c r="E571" s="193"/>
      <c r="F571" s="187"/>
      <c r="G571" s="188"/>
      <c r="H571" s="188"/>
      <c r="I571" s="188"/>
      <c r="J571" s="226"/>
      <c r="K571" s="188"/>
    </row>
    <row r="572" spans="1:11" s="194" customFormat="1" ht="24.95" customHeight="1" x14ac:dyDescent="0.35">
      <c r="A572" s="189"/>
      <c r="B572" s="197">
        <v>1</v>
      </c>
      <c r="C572" s="192" t="e">
        <f>GEDUNG!#REF!</f>
        <v>#REF!</v>
      </c>
      <c r="D572" s="192"/>
      <c r="E572" s="193"/>
      <c r="F572" s="187"/>
      <c r="G572" s="188"/>
      <c r="H572" s="188"/>
      <c r="I572" s="188"/>
      <c r="J572" s="226"/>
      <c r="K572" s="188"/>
    </row>
    <row r="573" spans="1:11" s="194" customFormat="1" ht="24.95" customHeight="1" x14ac:dyDescent="0.35">
      <c r="A573" s="189"/>
      <c r="B573" s="190"/>
      <c r="C573" s="192"/>
      <c r="D573" s="192"/>
      <c r="E573" s="193"/>
      <c r="F573" s="187"/>
      <c r="G573" s="188">
        <v>353.2491</v>
      </c>
      <c r="H573" s="188"/>
      <c r="I573" s="188">
        <v>1</v>
      </c>
      <c r="J573" s="226" t="s">
        <v>26</v>
      </c>
      <c r="K573" s="188">
        <f>G573*I573</f>
        <v>353.2491</v>
      </c>
    </row>
    <row r="574" spans="1:11" s="194" customFormat="1" ht="24.95" customHeight="1" thickBot="1" x14ac:dyDescent="0.4">
      <c r="A574" s="189"/>
      <c r="B574" s="516" t="s">
        <v>189</v>
      </c>
      <c r="C574" s="517"/>
      <c r="D574" s="517"/>
      <c r="E574" s="517"/>
      <c r="F574" s="517"/>
      <c r="G574" s="517"/>
      <c r="H574" s="517"/>
      <c r="I574" s="517"/>
      <c r="J574" s="518"/>
      <c r="K574" s="213">
        <f>SUM(K573:K573)</f>
        <v>353.2491</v>
      </c>
    </row>
    <row r="575" spans="1:11" s="194" customFormat="1" ht="24.95" customHeight="1" x14ac:dyDescent="0.35">
      <c r="A575" s="189"/>
      <c r="B575" s="197">
        <v>2</v>
      </c>
      <c r="C575" s="192" t="e">
        <f>GEDUNG!#REF!</f>
        <v>#REF!</v>
      </c>
      <c r="D575" s="192"/>
      <c r="E575" s="193"/>
      <c r="F575" s="187"/>
      <c r="G575" s="188"/>
      <c r="H575" s="188"/>
      <c r="I575" s="188"/>
      <c r="J575" s="226"/>
      <c r="K575" s="188"/>
    </row>
    <row r="576" spans="1:11" s="194" customFormat="1" ht="24" customHeight="1" x14ac:dyDescent="0.35">
      <c r="A576" s="189"/>
      <c r="B576" s="190"/>
      <c r="C576" s="192"/>
      <c r="D576" s="192"/>
      <c r="E576" s="193"/>
      <c r="F576" s="187"/>
      <c r="G576" s="188">
        <v>27.3979</v>
      </c>
      <c r="H576" s="188"/>
      <c r="I576" s="188">
        <v>1</v>
      </c>
      <c r="J576" s="226" t="s">
        <v>26</v>
      </c>
      <c r="K576" s="188">
        <f>G576*I576</f>
        <v>27.3979</v>
      </c>
    </row>
    <row r="577" spans="1:11" s="194" customFormat="1" ht="24" customHeight="1" x14ac:dyDescent="0.35">
      <c r="A577" s="189"/>
      <c r="B577" s="190"/>
      <c r="C577" s="192"/>
      <c r="D577" s="192"/>
      <c r="E577" s="193"/>
      <c r="F577" s="187"/>
      <c r="G577" s="188">
        <v>7.26</v>
      </c>
      <c r="H577" s="188"/>
      <c r="I577" s="188">
        <v>1</v>
      </c>
      <c r="J577" s="226" t="s">
        <v>26</v>
      </c>
      <c r="K577" s="188">
        <f>G577*I577</f>
        <v>7.26</v>
      </c>
    </row>
    <row r="578" spans="1:11" s="194" customFormat="1" ht="24" customHeight="1" x14ac:dyDescent="0.35">
      <c r="A578" s="189"/>
      <c r="B578" s="190"/>
      <c r="C578" s="192"/>
      <c r="D578" s="192"/>
      <c r="E578" s="193"/>
      <c r="F578" s="187"/>
      <c r="G578" s="188">
        <v>27.3979</v>
      </c>
      <c r="H578" s="188"/>
      <c r="I578" s="188">
        <v>1</v>
      </c>
      <c r="J578" s="226" t="s">
        <v>26</v>
      </c>
      <c r="K578" s="188">
        <f>G578*I578</f>
        <v>27.3979</v>
      </c>
    </row>
    <row r="579" spans="1:11" s="194" customFormat="1" ht="24.95" customHeight="1" thickBot="1" x14ac:dyDescent="0.4">
      <c r="A579" s="189"/>
      <c r="B579" s="516" t="s">
        <v>189</v>
      </c>
      <c r="C579" s="517"/>
      <c r="D579" s="517"/>
      <c r="E579" s="517"/>
      <c r="F579" s="517"/>
      <c r="G579" s="517"/>
      <c r="H579" s="517"/>
      <c r="I579" s="517"/>
      <c r="J579" s="518"/>
      <c r="K579" s="213">
        <f>SUM(K576:K578)</f>
        <v>62.055799999999998</v>
      </c>
    </row>
    <row r="580" spans="1:11" s="194" customFormat="1" ht="24.95" customHeight="1" x14ac:dyDescent="0.35">
      <c r="A580" s="189"/>
      <c r="B580" s="197">
        <v>3</v>
      </c>
      <c r="C580" s="192" t="e">
        <f>GEDUNG!#REF!</f>
        <v>#REF!</v>
      </c>
      <c r="D580" s="192"/>
      <c r="E580" s="193"/>
      <c r="F580" s="187"/>
      <c r="G580" s="188"/>
      <c r="H580" s="188"/>
      <c r="I580" s="188"/>
      <c r="J580" s="226"/>
      <c r="K580" s="188"/>
    </row>
    <row r="581" spans="1:11" s="194" customFormat="1" ht="24" customHeight="1" x14ac:dyDescent="0.35">
      <c r="A581" s="189"/>
      <c r="B581" s="190"/>
      <c r="C581" s="192"/>
      <c r="D581" s="192"/>
      <c r="E581" s="193"/>
      <c r="F581" s="187"/>
      <c r="G581" s="188">
        <v>4.6677999999999997</v>
      </c>
      <c r="H581" s="188"/>
      <c r="I581" s="188">
        <v>1</v>
      </c>
      <c r="J581" s="226" t="s">
        <v>26</v>
      </c>
      <c r="K581" s="188">
        <f>G581*I581</f>
        <v>4.6677999999999997</v>
      </c>
    </row>
    <row r="582" spans="1:11" s="194" customFormat="1" ht="24" customHeight="1" x14ac:dyDescent="0.35">
      <c r="A582" s="189"/>
      <c r="B582" s="190"/>
      <c r="C582" s="192"/>
      <c r="D582" s="192"/>
      <c r="E582" s="193"/>
      <c r="F582" s="187"/>
      <c r="G582" s="188">
        <v>7.3693</v>
      </c>
      <c r="H582" s="188"/>
      <c r="I582" s="188">
        <v>1</v>
      </c>
      <c r="J582" s="226" t="s">
        <v>26</v>
      </c>
      <c r="K582" s="188">
        <f>G582*I582</f>
        <v>7.3693</v>
      </c>
    </row>
    <row r="583" spans="1:11" s="194" customFormat="1" ht="24.95" customHeight="1" thickBot="1" x14ac:dyDescent="0.4">
      <c r="A583" s="189"/>
      <c r="B583" s="516" t="s">
        <v>189</v>
      </c>
      <c r="C583" s="517"/>
      <c r="D583" s="517"/>
      <c r="E583" s="517"/>
      <c r="F583" s="517"/>
      <c r="G583" s="517"/>
      <c r="H583" s="517"/>
      <c r="I583" s="517"/>
      <c r="J583" s="518"/>
      <c r="K583" s="213">
        <f>SUM(K581:K582)</f>
        <v>12.037099999999999</v>
      </c>
    </row>
    <row r="584" spans="1:11" s="194" customFormat="1" ht="24.95" customHeight="1" x14ac:dyDescent="0.35">
      <c r="A584" s="189"/>
      <c r="B584" s="197">
        <v>4</v>
      </c>
      <c r="C584" s="192" t="e">
        <f>GEDUNG!#REF!</f>
        <v>#REF!</v>
      </c>
      <c r="D584" s="192"/>
      <c r="E584" s="193"/>
      <c r="F584" s="187"/>
      <c r="G584" s="188"/>
      <c r="H584" s="188"/>
      <c r="I584" s="188"/>
      <c r="J584" s="226"/>
      <c r="K584" s="188"/>
    </row>
    <row r="585" spans="1:11" s="194" customFormat="1" ht="24" customHeight="1" x14ac:dyDescent="0.35">
      <c r="A585" s="189"/>
      <c r="B585" s="190"/>
      <c r="C585" s="192"/>
      <c r="D585" s="192"/>
      <c r="E585" s="193"/>
      <c r="F585" s="187"/>
      <c r="G585" s="188">
        <v>3.73</v>
      </c>
      <c r="H585" s="188">
        <f>0.4*5</f>
        <v>2</v>
      </c>
      <c r="I585" s="188">
        <v>4</v>
      </c>
      <c r="J585" s="226" t="s">
        <v>26</v>
      </c>
      <c r="K585" s="188">
        <f>G585*H585*I585</f>
        <v>29.84</v>
      </c>
    </row>
    <row r="586" spans="1:11" s="194" customFormat="1" ht="24" customHeight="1" x14ac:dyDescent="0.35">
      <c r="A586" s="189"/>
      <c r="B586" s="190"/>
      <c r="C586" s="192"/>
      <c r="D586" s="192"/>
      <c r="E586" s="193"/>
      <c r="F586" s="187"/>
      <c r="G586" s="188">
        <v>2.62</v>
      </c>
      <c r="H586" s="188">
        <f>0.4*5</f>
        <v>2</v>
      </c>
      <c r="I586" s="188">
        <v>1</v>
      </c>
      <c r="J586" s="226" t="s">
        <v>26</v>
      </c>
      <c r="K586" s="188">
        <f>G586*H586*I586</f>
        <v>5.24</v>
      </c>
    </row>
    <row r="587" spans="1:11" s="194" customFormat="1" ht="24" customHeight="1" x14ac:dyDescent="0.35">
      <c r="A587" s="189"/>
      <c r="B587" s="190"/>
      <c r="C587" s="192"/>
      <c r="D587" s="192"/>
      <c r="E587" s="193"/>
      <c r="F587" s="187"/>
      <c r="G587" s="188">
        <v>1.49</v>
      </c>
      <c r="H587" s="188">
        <f>0.4*5</f>
        <v>2</v>
      </c>
      <c r="I587" s="188">
        <v>1</v>
      </c>
      <c r="J587" s="226" t="s">
        <v>26</v>
      </c>
      <c r="K587" s="188">
        <f>G587*H587*I587</f>
        <v>2.98</v>
      </c>
    </row>
    <row r="588" spans="1:11" s="194" customFormat="1" ht="24" customHeight="1" x14ac:dyDescent="0.35">
      <c r="A588" s="189"/>
      <c r="B588" s="190"/>
      <c r="C588" s="192"/>
      <c r="D588" s="192"/>
      <c r="E588" s="193"/>
      <c r="F588" s="187"/>
      <c r="G588" s="188">
        <v>6.7080000000000002</v>
      </c>
      <c r="H588" s="188">
        <f>0.4*5</f>
        <v>2</v>
      </c>
      <c r="I588" s="188">
        <v>1</v>
      </c>
      <c r="J588" s="226" t="s">
        <v>26</v>
      </c>
      <c r="K588" s="188">
        <f>G588*H588*I588</f>
        <v>13.416</v>
      </c>
    </row>
    <row r="589" spans="1:11" s="194" customFormat="1" ht="24" customHeight="1" x14ac:dyDescent="0.35">
      <c r="A589" s="189"/>
      <c r="B589" s="190"/>
      <c r="C589" s="192"/>
      <c r="D589" s="192"/>
      <c r="E589" s="193"/>
      <c r="F589" s="187"/>
      <c r="G589" s="188">
        <v>1.49</v>
      </c>
      <c r="H589" s="188">
        <f>0.4*5</f>
        <v>2</v>
      </c>
      <c r="I589" s="188">
        <v>1</v>
      </c>
      <c r="J589" s="226" t="s">
        <v>26</v>
      </c>
      <c r="K589" s="188">
        <f>G589*H589*I589</f>
        <v>2.98</v>
      </c>
    </row>
    <row r="590" spans="1:11" s="194" customFormat="1" ht="25.5" customHeight="1" thickBot="1" x14ac:dyDescent="0.4">
      <c r="A590" s="189"/>
      <c r="B590" s="516" t="s">
        <v>189</v>
      </c>
      <c r="C590" s="517"/>
      <c r="D590" s="517"/>
      <c r="E590" s="517"/>
      <c r="F590" s="517"/>
      <c r="G590" s="517"/>
      <c r="H590" s="517"/>
      <c r="I590" s="517"/>
      <c r="J590" s="518"/>
      <c r="K590" s="213">
        <f>SUM(K585:K589)</f>
        <v>54.455999999999996</v>
      </c>
    </row>
    <row r="591" spans="1:11" s="194" customFormat="1" ht="24.95" customHeight="1" x14ac:dyDescent="0.35">
      <c r="A591" s="189"/>
      <c r="B591" s="197">
        <v>8</v>
      </c>
      <c r="C591" s="192" t="e">
        <f>GEDUNG!#REF!</f>
        <v>#REF!</v>
      </c>
      <c r="D591" s="192"/>
      <c r="E591" s="193"/>
      <c r="F591" s="187"/>
      <c r="G591" s="188"/>
      <c r="H591" s="188"/>
      <c r="I591" s="188"/>
      <c r="J591" s="226"/>
      <c r="K591" s="188"/>
    </row>
    <row r="592" spans="1:11" s="194" customFormat="1" ht="24.95" customHeight="1" x14ac:dyDescent="0.35">
      <c r="A592" s="189"/>
      <c r="B592" s="197"/>
      <c r="C592" s="192"/>
      <c r="D592" s="192"/>
      <c r="E592" s="193" t="s">
        <v>288</v>
      </c>
      <c r="F592" s="187"/>
      <c r="G592" s="188">
        <v>21.55</v>
      </c>
      <c r="H592" s="188">
        <f>0.45+0.2+0.2</f>
        <v>0.85000000000000009</v>
      </c>
      <c r="I592" s="188">
        <v>1</v>
      </c>
      <c r="J592" s="226" t="s">
        <v>26</v>
      </c>
      <c r="K592" s="188">
        <f>G592*H592*I592</f>
        <v>18.317500000000003</v>
      </c>
    </row>
    <row r="593" spans="1:11" s="194" customFormat="1" ht="24.95" customHeight="1" x14ac:dyDescent="0.35">
      <c r="A593" s="189"/>
      <c r="B593" s="197"/>
      <c r="C593" s="192"/>
      <c r="D593" s="192"/>
      <c r="E593" s="193" t="s">
        <v>289</v>
      </c>
      <c r="F593" s="187"/>
      <c r="G593" s="188">
        <v>0.65</v>
      </c>
      <c r="H593" s="188"/>
      <c r="I593" s="188">
        <v>3</v>
      </c>
      <c r="J593" s="226" t="s">
        <v>26</v>
      </c>
      <c r="K593" s="188">
        <f>G593*I593</f>
        <v>1.9500000000000002</v>
      </c>
    </row>
    <row r="594" spans="1:11" s="194" customFormat="1" ht="24.95" customHeight="1" x14ac:dyDescent="0.35">
      <c r="A594" s="189"/>
      <c r="B594" s="197"/>
      <c r="C594" s="192"/>
      <c r="D594" s="192"/>
      <c r="E594" s="193" t="s">
        <v>290</v>
      </c>
      <c r="F594" s="187"/>
      <c r="G594" s="188">
        <v>10.8</v>
      </c>
      <c r="H594" s="188"/>
      <c r="I594" s="188">
        <v>1</v>
      </c>
      <c r="J594" s="226" t="s">
        <v>26</v>
      </c>
      <c r="K594" s="188">
        <f>G594*I594</f>
        <v>10.8</v>
      </c>
    </row>
    <row r="595" spans="1:11" s="194" customFormat="1" ht="24.95" customHeight="1" x14ac:dyDescent="0.35">
      <c r="A595" s="189"/>
      <c r="B595" s="197"/>
      <c r="C595" s="192"/>
      <c r="D595" s="192"/>
      <c r="E595" s="193"/>
      <c r="F595" s="187"/>
      <c r="G595" s="188">
        <v>9.6</v>
      </c>
      <c r="H595" s="188">
        <v>0.2</v>
      </c>
      <c r="I595" s="188">
        <v>1</v>
      </c>
      <c r="J595" s="226" t="s">
        <v>26</v>
      </c>
      <c r="K595" s="188">
        <f>G595*H595*I595</f>
        <v>1.92</v>
      </c>
    </row>
    <row r="596" spans="1:11" s="194" customFormat="1" ht="24.95" customHeight="1" x14ac:dyDescent="0.35">
      <c r="A596" s="189"/>
      <c r="B596" s="197"/>
      <c r="C596" s="192"/>
      <c r="D596" s="192"/>
      <c r="E596" s="193"/>
      <c r="F596" s="187"/>
      <c r="G596" s="188">
        <v>2.65</v>
      </c>
      <c r="H596" s="188">
        <v>1.1499999999999999</v>
      </c>
      <c r="I596" s="188">
        <v>1</v>
      </c>
      <c r="J596" s="226" t="s">
        <v>26</v>
      </c>
      <c r="K596" s="188">
        <f>G596*H596*I596</f>
        <v>3.0474999999999999</v>
      </c>
    </row>
    <row r="597" spans="1:11" s="194" customFormat="1" ht="24.95" customHeight="1" x14ac:dyDescent="0.35">
      <c r="A597" s="189"/>
      <c r="B597" s="197"/>
      <c r="C597" s="192"/>
      <c r="D597" s="192"/>
      <c r="E597" s="193" t="s">
        <v>291</v>
      </c>
      <c r="F597" s="187"/>
      <c r="G597" s="188">
        <v>0.8</v>
      </c>
      <c r="H597" s="188">
        <v>11</v>
      </c>
      <c r="I597" s="188">
        <v>10</v>
      </c>
      <c r="J597" s="226" t="s">
        <v>26</v>
      </c>
      <c r="K597" s="188">
        <f>G597*H597*I597</f>
        <v>88</v>
      </c>
    </row>
    <row r="598" spans="1:11" s="194" customFormat="1" ht="24.95" customHeight="1" x14ac:dyDescent="0.35">
      <c r="A598" s="189"/>
      <c r="B598" s="197"/>
      <c r="C598" s="192"/>
      <c r="D598" s="192"/>
      <c r="E598" s="193" t="s">
        <v>292</v>
      </c>
      <c r="F598" s="187"/>
      <c r="G598" s="188">
        <v>6.48</v>
      </c>
      <c r="H598" s="188"/>
      <c r="I598" s="188">
        <v>1</v>
      </c>
      <c r="J598" s="226" t="s">
        <v>26</v>
      </c>
      <c r="K598" s="188">
        <f>G598*I598</f>
        <v>6.48</v>
      </c>
    </row>
    <row r="599" spans="1:11" s="194" customFormat="1" ht="24.95" customHeight="1" x14ac:dyDescent="0.35">
      <c r="A599" s="189"/>
      <c r="B599" s="197"/>
      <c r="C599" s="192"/>
      <c r="D599" s="192"/>
      <c r="E599" s="193"/>
      <c r="F599" s="187"/>
      <c r="G599" s="188">
        <v>10.8</v>
      </c>
      <c r="H599" s="188">
        <v>0.2</v>
      </c>
      <c r="I599" s="188">
        <v>1</v>
      </c>
      <c r="J599" s="226" t="s">
        <v>26</v>
      </c>
      <c r="K599" s="188">
        <f>G599*H599*I599</f>
        <v>2.16</v>
      </c>
    </row>
    <row r="600" spans="1:11" s="194" customFormat="1" ht="24.95" customHeight="1" thickBot="1" x14ac:dyDescent="0.4">
      <c r="A600" s="189"/>
      <c r="B600" s="516" t="s">
        <v>189</v>
      </c>
      <c r="C600" s="517"/>
      <c r="D600" s="517"/>
      <c r="E600" s="517"/>
      <c r="F600" s="517"/>
      <c r="G600" s="517"/>
      <c r="H600" s="517"/>
      <c r="I600" s="517"/>
      <c r="J600" s="518"/>
      <c r="K600" s="213">
        <f>SUM(K592:K599)</f>
        <v>132.67499999999998</v>
      </c>
    </row>
    <row r="601" spans="1:11" s="194" customFormat="1" ht="24.95" customHeight="1" x14ac:dyDescent="0.35">
      <c r="A601" s="195" t="s">
        <v>62</v>
      </c>
      <c r="B601" s="201" t="str">
        <f>GEDUNG!D148</f>
        <v>PEKERJAAN PLAFOND</v>
      </c>
      <c r="C601" s="192"/>
      <c r="D601" s="192"/>
      <c r="E601" s="193"/>
      <c r="F601" s="187"/>
      <c r="G601" s="188"/>
      <c r="H601" s="188"/>
      <c r="I601" s="188"/>
      <c r="J601" s="226"/>
      <c r="K601" s="188"/>
    </row>
    <row r="602" spans="1:11" s="194" customFormat="1" ht="24.95" customHeight="1" x14ac:dyDescent="0.35">
      <c r="A602" s="195"/>
      <c r="B602" s="197" t="str">
        <f>GEDUNG!D149</f>
        <v>LANTAI I</v>
      </c>
      <c r="C602" s="192"/>
      <c r="D602" s="192"/>
      <c r="E602" s="193"/>
      <c r="F602" s="187"/>
      <c r="G602" s="188"/>
      <c r="H602" s="188"/>
      <c r="I602" s="188"/>
      <c r="J602" s="226"/>
      <c r="K602" s="188"/>
    </row>
    <row r="603" spans="1:11" s="194" customFormat="1" ht="24.95" customHeight="1" x14ac:dyDescent="0.35">
      <c r="A603" s="189"/>
      <c r="B603" s="197">
        <v>1</v>
      </c>
      <c r="C603" s="192" t="str">
        <f>GEDUNG!D150</f>
        <v>Pek. Rangka Plafond Hollow  40.40 mm, Interior</v>
      </c>
      <c r="D603" s="192"/>
      <c r="E603" s="193"/>
      <c r="F603" s="187"/>
      <c r="G603" s="188"/>
      <c r="H603" s="188"/>
      <c r="I603" s="188"/>
      <c r="J603" s="226"/>
      <c r="K603" s="188"/>
    </row>
    <row r="604" spans="1:11" s="194" customFormat="1" ht="24.95" customHeight="1" x14ac:dyDescent="0.35">
      <c r="A604" s="189"/>
      <c r="B604" s="190"/>
      <c r="C604" s="192"/>
      <c r="D604" s="192"/>
      <c r="E604" s="200" t="s">
        <v>271</v>
      </c>
      <c r="F604" s="187"/>
      <c r="G604" s="188">
        <v>322.26459999999997</v>
      </c>
      <c r="H604" s="188"/>
      <c r="I604" s="188">
        <v>1</v>
      </c>
      <c r="J604" s="226" t="s">
        <v>26</v>
      </c>
      <c r="K604" s="188">
        <f>G604*I604</f>
        <v>322.26459999999997</v>
      </c>
    </row>
    <row r="605" spans="1:11" s="194" customFormat="1" ht="24.95" customHeight="1" x14ac:dyDescent="0.35">
      <c r="A605" s="189"/>
      <c r="B605" s="190"/>
      <c r="C605" s="192"/>
      <c r="D605" s="192"/>
      <c r="E605" s="200" t="s">
        <v>270</v>
      </c>
      <c r="F605" s="187"/>
      <c r="G605" s="188">
        <v>101.822</v>
      </c>
      <c r="H605" s="188"/>
      <c r="I605" s="188">
        <v>1</v>
      </c>
      <c r="J605" s="226" t="s">
        <v>26</v>
      </c>
      <c r="K605" s="188">
        <f>G605*I605</f>
        <v>101.822</v>
      </c>
    </row>
    <row r="606" spans="1:11" s="194" customFormat="1" ht="24.95" customHeight="1" thickBot="1" x14ac:dyDescent="0.4">
      <c r="A606" s="189"/>
      <c r="B606" s="516" t="s">
        <v>189</v>
      </c>
      <c r="C606" s="517"/>
      <c r="D606" s="517"/>
      <c r="E606" s="517"/>
      <c r="F606" s="517"/>
      <c r="G606" s="517"/>
      <c r="H606" s="517"/>
      <c r="I606" s="517"/>
      <c r="J606" s="518"/>
      <c r="K606" s="213">
        <f>SUM(K604:K605)</f>
        <v>424.08659999999998</v>
      </c>
    </row>
    <row r="607" spans="1:11" s="194" customFormat="1" ht="24.95" customHeight="1" x14ac:dyDescent="0.35">
      <c r="A607" s="189"/>
      <c r="B607" s="197">
        <v>2</v>
      </c>
      <c r="C607" s="192" t="str">
        <f>GEDUNG!D151</f>
        <v>Pek. Plafond Gypsum Board T. 9 mm, Interior</v>
      </c>
      <c r="D607" s="192"/>
      <c r="E607" s="193"/>
      <c r="F607" s="187"/>
      <c r="G607" s="188"/>
      <c r="H607" s="188"/>
      <c r="I607" s="188"/>
      <c r="J607" s="226"/>
      <c r="K607" s="188"/>
    </row>
    <row r="608" spans="1:11" s="194" customFormat="1" ht="24.95" customHeight="1" x14ac:dyDescent="0.35">
      <c r="A608" s="189"/>
      <c r="B608" s="190"/>
      <c r="C608" s="192"/>
      <c r="D608" s="192"/>
      <c r="E608" s="200" t="s">
        <v>271</v>
      </c>
      <c r="F608" s="187"/>
      <c r="G608" s="188">
        <v>322.26459999999997</v>
      </c>
      <c r="H608" s="188"/>
      <c r="I608" s="188">
        <v>1</v>
      </c>
      <c r="J608" s="226" t="s">
        <v>26</v>
      </c>
      <c r="K608" s="188">
        <f>G608*I608</f>
        <v>322.26459999999997</v>
      </c>
    </row>
    <row r="609" spans="1:11" s="194" customFormat="1" ht="24.95" customHeight="1" thickBot="1" x14ac:dyDescent="0.4">
      <c r="A609" s="189"/>
      <c r="B609" s="516" t="s">
        <v>189</v>
      </c>
      <c r="C609" s="517"/>
      <c r="D609" s="517"/>
      <c r="E609" s="517"/>
      <c r="F609" s="517"/>
      <c r="G609" s="517"/>
      <c r="H609" s="517"/>
      <c r="I609" s="517"/>
      <c r="J609" s="518"/>
      <c r="K609" s="213">
        <f>SUM(K608:K608)</f>
        <v>322.26459999999997</v>
      </c>
    </row>
    <row r="610" spans="1:11" s="194" customFormat="1" ht="24.95" customHeight="1" x14ac:dyDescent="0.35">
      <c r="A610" s="189"/>
      <c r="B610" s="197">
        <v>3</v>
      </c>
      <c r="C610" s="192" t="e">
        <f>GEDUNG!#REF!</f>
        <v>#REF!</v>
      </c>
      <c r="D610" s="192"/>
      <c r="E610" s="193"/>
      <c r="F610" s="187"/>
      <c r="G610" s="188"/>
      <c r="H610" s="188"/>
      <c r="I610" s="188"/>
      <c r="J610" s="226"/>
      <c r="K610" s="188"/>
    </row>
    <row r="611" spans="1:11" s="194" customFormat="1" ht="24.95" customHeight="1" x14ac:dyDescent="0.35">
      <c r="A611" s="189"/>
      <c r="B611" s="190"/>
      <c r="C611" s="192"/>
      <c r="D611" s="192"/>
      <c r="E611" s="200" t="s">
        <v>270</v>
      </c>
      <c r="F611" s="187"/>
      <c r="G611" s="188">
        <v>101.822</v>
      </c>
      <c r="H611" s="188"/>
      <c r="I611" s="188">
        <v>1</v>
      </c>
      <c r="J611" s="226" t="s">
        <v>26</v>
      </c>
      <c r="K611" s="188">
        <f>G611*I611</f>
        <v>101.822</v>
      </c>
    </row>
    <row r="612" spans="1:11" s="194" customFormat="1" ht="24.95" customHeight="1" thickBot="1" x14ac:dyDescent="0.4">
      <c r="A612" s="189"/>
      <c r="B612" s="516" t="s">
        <v>189</v>
      </c>
      <c r="C612" s="517"/>
      <c r="D612" s="517"/>
      <c r="E612" s="517"/>
      <c r="F612" s="517"/>
      <c r="G612" s="517"/>
      <c r="H612" s="517"/>
      <c r="I612" s="517"/>
      <c r="J612" s="518"/>
      <c r="K612" s="213">
        <f>SUM(K611:K611)</f>
        <v>101.822</v>
      </c>
    </row>
    <row r="613" spans="1:11" s="194" customFormat="1" ht="24.95" customHeight="1" x14ac:dyDescent="0.35">
      <c r="A613" s="195"/>
      <c r="B613" s="197" t="str">
        <f>GEDUNG!D161</f>
        <v>LANTAI II</v>
      </c>
      <c r="C613" s="192"/>
      <c r="D613" s="192"/>
      <c r="E613" s="193"/>
      <c r="F613" s="187"/>
      <c r="G613" s="188"/>
      <c r="H613" s="188"/>
      <c r="I613" s="188"/>
      <c r="J613" s="226"/>
      <c r="K613" s="188"/>
    </row>
    <row r="614" spans="1:11" s="194" customFormat="1" ht="24.95" customHeight="1" x14ac:dyDescent="0.35">
      <c r="A614" s="189"/>
      <c r="B614" s="197">
        <v>1</v>
      </c>
      <c r="C614" s="192" t="str">
        <f>GEDUNG!D162</f>
        <v>Pek. Rangka Plafond Hollow  40.40 mm, Interior</v>
      </c>
      <c r="D614" s="192"/>
      <c r="E614" s="193"/>
      <c r="F614" s="187"/>
      <c r="G614" s="188"/>
      <c r="H614" s="188"/>
      <c r="I614" s="188"/>
      <c r="J614" s="226"/>
      <c r="K614" s="188"/>
    </row>
    <row r="615" spans="1:11" s="194" customFormat="1" ht="24.95" customHeight="1" x14ac:dyDescent="0.35">
      <c r="A615" s="189"/>
      <c r="B615" s="190"/>
      <c r="C615" s="192"/>
      <c r="D615" s="192"/>
      <c r="E615" s="200" t="s">
        <v>271</v>
      </c>
      <c r="F615" s="187"/>
      <c r="G615" s="188">
        <v>369.70159999999998</v>
      </c>
      <c r="H615" s="188"/>
      <c r="I615" s="188">
        <v>1</v>
      </c>
      <c r="J615" s="226" t="s">
        <v>26</v>
      </c>
      <c r="K615" s="188">
        <f>G615*I615</f>
        <v>369.70159999999998</v>
      </c>
    </row>
    <row r="616" spans="1:11" s="194" customFormat="1" ht="24.95" customHeight="1" x14ac:dyDescent="0.35">
      <c r="A616" s="189"/>
      <c r="B616" s="190"/>
      <c r="C616" s="192"/>
      <c r="D616" s="192"/>
      <c r="E616" s="200" t="s">
        <v>270</v>
      </c>
      <c r="F616" s="187"/>
      <c r="G616" s="188">
        <v>79.540599999999998</v>
      </c>
      <c r="H616" s="188"/>
      <c r="I616" s="188">
        <v>1</v>
      </c>
      <c r="J616" s="226" t="s">
        <v>26</v>
      </c>
      <c r="K616" s="188">
        <f>G616*I616</f>
        <v>79.540599999999998</v>
      </c>
    </row>
    <row r="617" spans="1:11" s="194" customFormat="1" ht="24.95" customHeight="1" thickBot="1" x14ac:dyDescent="0.4">
      <c r="A617" s="189"/>
      <c r="B617" s="516" t="s">
        <v>189</v>
      </c>
      <c r="C617" s="517"/>
      <c r="D617" s="517"/>
      <c r="E617" s="517"/>
      <c r="F617" s="517"/>
      <c r="G617" s="517"/>
      <c r="H617" s="517"/>
      <c r="I617" s="517"/>
      <c r="J617" s="518"/>
      <c r="K617" s="213">
        <f>SUM(K615:K616)</f>
        <v>449.24219999999997</v>
      </c>
    </row>
    <row r="618" spans="1:11" s="194" customFormat="1" ht="24.95" customHeight="1" x14ac:dyDescent="0.35">
      <c r="A618" s="189"/>
      <c r="B618" s="197">
        <v>2</v>
      </c>
      <c r="C618" s="192" t="str">
        <f>GEDUNG!D163</f>
        <v>Pek. Plafond Gypsum Board T. 9 mm, Interior</v>
      </c>
      <c r="D618" s="192"/>
      <c r="E618" s="193"/>
      <c r="F618" s="187"/>
      <c r="G618" s="188"/>
      <c r="H618" s="188"/>
      <c r="I618" s="188"/>
      <c r="J618" s="226"/>
      <c r="K618" s="188"/>
    </row>
    <row r="619" spans="1:11" s="194" customFormat="1" ht="24.95" customHeight="1" x14ac:dyDescent="0.35">
      <c r="A619" s="189"/>
      <c r="B619" s="190"/>
      <c r="C619" s="192"/>
      <c r="D619" s="192"/>
      <c r="E619" s="200" t="s">
        <v>271</v>
      </c>
      <c r="F619" s="187"/>
      <c r="G619" s="188">
        <v>369.70159999999998</v>
      </c>
      <c r="H619" s="188"/>
      <c r="I619" s="188">
        <v>1</v>
      </c>
      <c r="J619" s="226" t="s">
        <v>26</v>
      </c>
      <c r="K619" s="188">
        <f>G619*I619</f>
        <v>369.70159999999998</v>
      </c>
    </row>
    <row r="620" spans="1:11" s="194" customFormat="1" ht="24.95" customHeight="1" thickBot="1" x14ac:dyDescent="0.4">
      <c r="A620" s="189"/>
      <c r="B620" s="516" t="s">
        <v>189</v>
      </c>
      <c r="C620" s="517"/>
      <c r="D620" s="517"/>
      <c r="E620" s="517"/>
      <c r="F620" s="517"/>
      <c r="G620" s="517"/>
      <c r="H620" s="517"/>
      <c r="I620" s="517"/>
      <c r="J620" s="518"/>
      <c r="K620" s="213">
        <f>SUM(K619:K619)</f>
        <v>369.70159999999998</v>
      </c>
    </row>
    <row r="621" spans="1:11" s="194" customFormat="1" ht="24.95" customHeight="1" x14ac:dyDescent="0.35">
      <c r="A621" s="189"/>
      <c r="B621" s="197">
        <v>3</v>
      </c>
      <c r="C621" s="192">
        <f>GEDUNG!D171</f>
        <v>0</v>
      </c>
      <c r="D621" s="192"/>
      <c r="E621" s="193"/>
      <c r="F621" s="187"/>
      <c r="G621" s="188"/>
      <c r="H621" s="188"/>
      <c r="I621" s="188"/>
      <c r="J621" s="226"/>
      <c r="K621" s="188"/>
    </row>
    <row r="622" spans="1:11" s="194" customFormat="1" ht="24.95" customHeight="1" x14ac:dyDescent="0.35">
      <c r="A622" s="189"/>
      <c r="B622" s="190"/>
      <c r="C622" s="192"/>
      <c r="D622" s="192"/>
      <c r="E622" s="200" t="s">
        <v>270</v>
      </c>
      <c r="F622" s="187"/>
      <c r="G622" s="188">
        <v>79.540599999999998</v>
      </c>
      <c r="H622" s="188"/>
      <c r="I622" s="188">
        <v>1</v>
      </c>
      <c r="J622" s="226" t="s">
        <v>26</v>
      </c>
      <c r="K622" s="188">
        <f>G622*I622</f>
        <v>79.540599999999998</v>
      </c>
    </row>
    <row r="623" spans="1:11" s="194" customFormat="1" ht="24.95" customHeight="1" thickBot="1" x14ac:dyDescent="0.4">
      <c r="A623" s="189"/>
      <c r="B623" s="516" t="s">
        <v>189</v>
      </c>
      <c r="C623" s="517"/>
      <c r="D623" s="517"/>
      <c r="E623" s="517"/>
      <c r="F623" s="517"/>
      <c r="G623" s="517"/>
      <c r="H623" s="517"/>
      <c r="I623" s="517"/>
      <c r="J623" s="518"/>
      <c r="K623" s="213">
        <f>SUM(K622:K622)</f>
        <v>79.540599999999998</v>
      </c>
    </row>
    <row r="624" spans="1:11" s="194" customFormat="1" ht="24.95" customHeight="1" x14ac:dyDescent="0.35">
      <c r="A624" s="195" t="s">
        <v>170</v>
      </c>
      <c r="B624" s="201" t="str">
        <f>GEDUNG!D173</f>
        <v>PEKERJAAN KOZYN, PINTU, JENDELA DAN VENTILASI</v>
      </c>
      <c r="C624" s="192"/>
      <c r="D624" s="192"/>
      <c r="E624" s="193"/>
      <c r="F624" s="187"/>
      <c r="G624" s="188"/>
      <c r="H624" s="188"/>
      <c r="I624" s="188"/>
      <c r="J624" s="226"/>
      <c r="K624" s="188"/>
    </row>
    <row r="625" spans="1:11" s="194" customFormat="1" ht="24.95" customHeight="1" x14ac:dyDescent="0.35">
      <c r="A625" s="195"/>
      <c r="B625" s="197" t="str">
        <f>GEDUNG!D174</f>
        <v>LANTAI I</v>
      </c>
      <c r="C625" s="192"/>
      <c r="D625" s="192"/>
      <c r="E625" s="193"/>
      <c r="F625" s="187"/>
      <c r="G625" s="188"/>
      <c r="H625" s="188"/>
      <c r="I625" s="188"/>
      <c r="J625" s="226"/>
      <c r="K625" s="188"/>
    </row>
    <row r="626" spans="1:11" s="194" customFormat="1" ht="24.95" customHeight="1" x14ac:dyDescent="0.35">
      <c r="A626" s="189"/>
      <c r="B626" s="197">
        <v>1</v>
      </c>
      <c r="C626" s="192" t="str">
        <f>GEDUNG!D175</f>
        <v>Pek. Kusen jendela aluminium putih</v>
      </c>
      <c r="D626" s="192"/>
      <c r="E626" s="193"/>
      <c r="F626" s="187"/>
      <c r="G626" s="188"/>
      <c r="H626" s="188"/>
      <c r="I626" s="188"/>
      <c r="J626" s="226"/>
      <c r="K626" s="188"/>
    </row>
    <row r="627" spans="1:11" s="194" customFormat="1" ht="24.95" customHeight="1" x14ac:dyDescent="0.35">
      <c r="A627" s="189"/>
      <c r="B627" s="190"/>
      <c r="C627" s="192"/>
      <c r="D627" s="192"/>
      <c r="E627" s="200" t="s">
        <v>272</v>
      </c>
      <c r="F627" s="187">
        <f>(2.8*4)+(0.6*8)+(1.6*2)</f>
        <v>19.2</v>
      </c>
      <c r="G627" s="188"/>
      <c r="H627" s="188"/>
      <c r="I627" s="188">
        <v>1</v>
      </c>
      <c r="J627" s="226" t="s">
        <v>19</v>
      </c>
      <c r="K627" s="188">
        <f>F627*I627</f>
        <v>19.2</v>
      </c>
    </row>
    <row r="628" spans="1:11" s="194" customFormat="1" ht="24.95" customHeight="1" x14ac:dyDescent="0.35">
      <c r="A628" s="189"/>
      <c r="B628" s="190"/>
      <c r="C628" s="192"/>
      <c r="D628" s="192"/>
      <c r="E628" s="200" t="s">
        <v>176</v>
      </c>
      <c r="F628" s="187">
        <f>(2.8*2)+(0.9*2)</f>
        <v>7.3999999999999995</v>
      </c>
      <c r="G628" s="188"/>
      <c r="H628" s="188"/>
      <c r="I628" s="188">
        <v>2</v>
      </c>
      <c r="J628" s="226" t="s">
        <v>19</v>
      </c>
      <c r="K628" s="188">
        <f t="shared" ref="K628:K633" si="26">F628*I628</f>
        <v>14.799999999999999</v>
      </c>
    </row>
    <row r="629" spans="1:11" s="194" customFormat="1" ht="24.95" customHeight="1" x14ac:dyDescent="0.35">
      <c r="A629" s="189"/>
      <c r="B629" s="190"/>
      <c r="C629" s="192"/>
      <c r="D629" s="192"/>
      <c r="E629" s="200" t="s">
        <v>177</v>
      </c>
      <c r="F629" s="187">
        <f>(1.95*2)+(0.65*2)</f>
        <v>5.2</v>
      </c>
      <c r="G629" s="188"/>
      <c r="H629" s="188"/>
      <c r="I629" s="188">
        <v>1</v>
      </c>
      <c r="J629" s="226" t="s">
        <v>19</v>
      </c>
      <c r="K629" s="188">
        <f t="shared" si="26"/>
        <v>5.2</v>
      </c>
    </row>
    <row r="630" spans="1:11" s="194" customFormat="1" ht="24.95" customHeight="1" x14ac:dyDescent="0.35">
      <c r="A630" s="189"/>
      <c r="B630" s="190"/>
      <c r="C630" s="192"/>
      <c r="D630" s="192"/>
      <c r="E630" s="200" t="s">
        <v>293</v>
      </c>
      <c r="F630" s="187">
        <f>(2.8*2)+(1.4*2)+(0.5*1)</f>
        <v>8.8999999999999986</v>
      </c>
      <c r="G630" s="188"/>
      <c r="H630" s="188"/>
      <c r="I630" s="188">
        <v>4</v>
      </c>
      <c r="J630" s="226" t="s">
        <v>19</v>
      </c>
      <c r="K630" s="188">
        <f t="shared" si="26"/>
        <v>35.599999999999994</v>
      </c>
    </row>
    <row r="631" spans="1:11" s="194" customFormat="1" ht="24.95" customHeight="1" x14ac:dyDescent="0.35">
      <c r="A631" s="189"/>
      <c r="B631" s="190"/>
      <c r="C631" s="192"/>
      <c r="D631" s="192"/>
      <c r="E631" s="200" t="s">
        <v>294</v>
      </c>
      <c r="F631" s="187">
        <f>(2.05*2)+(0.7*1)</f>
        <v>4.8</v>
      </c>
      <c r="G631" s="188"/>
      <c r="H631" s="188"/>
      <c r="I631" s="188">
        <v>4</v>
      </c>
      <c r="J631" s="226" t="s">
        <v>19</v>
      </c>
      <c r="K631" s="188">
        <f t="shared" si="26"/>
        <v>19.2</v>
      </c>
    </row>
    <row r="632" spans="1:11" s="194" customFormat="1" ht="24.95" customHeight="1" x14ac:dyDescent="0.35">
      <c r="A632" s="189"/>
      <c r="B632" s="190"/>
      <c r="C632" s="192"/>
      <c r="D632" s="192"/>
      <c r="E632" s="200" t="s">
        <v>295</v>
      </c>
      <c r="F632" s="187">
        <f>(2.8*2)+(3.2)</f>
        <v>8.8000000000000007</v>
      </c>
      <c r="G632" s="188"/>
      <c r="H632" s="188"/>
      <c r="I632" s="188">
        <v>4</v>
      </c>
      <c r="J632" s="226" t="s">
        <v>19</v>
      </c>
      <c r="K632" s="188"/>
    </row>
    <row r="633" spans="1:11" s="194" customFormat="1" ht="24.95" customHeight="1" x14ac:dyDescent="0.35">
      <c r="A633" s="189"/>
      <c r="B633" s="190"/>
      <c r="C633" s="192"/>
      <c r="D633" s="192"/>
      <c r="E633" s="200" t="s">
        <v>296</v>
      </c>
      <c r="F633" s="187">
        <f>(1.1*2)+(0.5*2)</f>
        <v>3.2</v>
      </c>
      <c r="G633" s="188"/>
      <c r="H633" s="188"/>
      <c r="I633" s="188">
        <v>1</v>
      </c>
      <c r="J633" s="226" t="s">
        <v>19</v>
      </c>
      <c r="K633" s="188">
        <f t="shared" si="26"/>
        <v>3.2</v>
      </c>
    </row>
    <row r="634" spans="1:11" s="194" customFormat="1" ht="24.95" customHeight="1" x14ac:dyDescent="0.35">
      <c r="A634" s="189"/>
      <c r="B634" s="190"/>
      <c r="C634" s="192"/>
      <c r="D634" s="192"/>
      <c r="E634" s="200" t="s">
        <v>297</v>
      </c>
      <c r="F634" s="187">
        <f>(1.1*2)+(0.5*2)</f>
        <v>3.2</v>
      </c>
      <c r="G634" s="188"/>
      <c r="H634" s="188"/>
      <c r="I634" s="188">
        <v>1</v>
      </c>
      <c r="J634" s="226" t="s">
        <v>19</v>
      </c>
      <c r="K634" s="188">
        <f t="shared" ref="K634:K639" si="27">F634*I634</f>
        <v>3.2</v>
      </c>
    </row>
    <row r="635" spans="1:11" s="194" customFormat="1" ht="24.95" customHeight="1" x14ac:dyDescent="0.35">
      <c r="A635" s="189"/>
      <c r="B635" s="190"/>
      <c r="C635" s="192"/>
      <c r="D635" s="192"/>
      <c r="E635" s="200" t="s">
        <v>298</v>
      </c>
      <c r="F635" s="187">
        <f>(2.25*5)+(0.75*12)</f>
        <v>20.25</v>
      </c>
      <c r="G635" s="188"/>
      <c r="H635" s="188"/>
      <c r="I635" s="188">
        <v>2</v>
      </c>
      <c r="J635" s="226" t="s">
        <v>19</v>
      </c>
      <c r="K635" s="188">
        <f t="shared" si="27"/>
        <v>40.5</v>
      </c>
    </row>
    <row r="636" spans="1:11" s="194" customFormat="1" ht="24.95" customHeight="1" x14ac:dyDescent="0.35">
      <c r="A636" s="189"/>
      <c r="B636" s="190"/>
      <c r="C636" s="192"/>
      <c r="D636" s="192"/>
      <c r="E636" s="200" t="s">
        <v>299</v>
      </c>
      <c r="F636" s="187">
        <f>(1.65*3)+(0.75*8)</f>
        <v>10.95</v>
      </c>
      <c r="G636" s="188"/>
      <c r="H636" s="188"/>
      <c r="I636" s="188">
        <v>6</v>
      </c>
      <c r="J636" s="226" t="s">
        <v>19</v>
      </c>
      <c r="K636" s="188">
        <f t="shared" si="27"/>
        <v>65.699999999999989</v>
      </c>
    </row>
    <row r="637" spans="1:11" s="194" customFormat="1" ht="24.95" customHeight="1" x14ac:dyDescent="0.35">
      <c r="A637" s="189"/>
      <c r="B637" s="190"/>
      <c r="C637" s="192"/>
      <c r="D637" s="192"/>
      <c r="E637" s="200" t="s">
        <v>300</v>
      </c>
      <c r="F637" s="187">
        <f>(3.05*5)+(0.55*5)</f>
        <v>18</v>
      </c>
      <c r="G637" s="188"/>
      <c r="H637" s="188"/>
      <c r="I637" s="188">
        <v>1</v>
      </c>
      <c r="J637" s="226" t="s">
        <v>19</v>
      </c>
      <c r="K637" s="188">
        <f t="shared" si="27"/>
        <v>18</v>
      </c>
    </row>
    <row r="638" spans="1:11" s="194" customFormat="1" ht="24.95" customHeight="1" x14ac:dyDescent="0.35">
      <c r="A638" s="189"/>
      <c r="B638" s="190"/>
      <c r="C638" s="192"/>
      <c r="D638" s="192"/>
      <c r="E638" s="200" t="s">
        <v>301</v>
      </c>
      <c r="F638" s="187">
        <f>(1.35*2)+(0.3*3)</f>
        <v>3.6</v>
      </c>
      <c r="G638" s="188"/>
      <c r="H638" s="188"/>
      <c r="I638" s="188">
        <v>1</v>
      </c>
      <c r="J638" s="226" t="s">
        <v>19</v>
      </c>
      <c r="K638" s="188">
        <f t="shared" si="27"/>
        <v>3.6</v>
      </c>
    </row>
    <row r="639" spans="1:11" s="194" customFormat="1" ht="24.95" customHeight="1" x14ac:dyDescent="0.35">
      <c r="A639" s="189"/>
      <c r="B639" s="190"/>
      <c r="C639" s="192"/>
      <c r="D639" s="192"/>
      <c r="E639" s="200" t="s">
        <v>302</v>
      </c>
      <c r="F639" s="187">
        <f>(0.6*2)+(0.55*2)</f>
        <v>2.2999999999999998</v>
      </c>
      <c r="G639" s="188"/>
      <c r="H639" s="188"/>
      <c r="I639" s="188">
        <v>2</v>
      </c>
      <c r="J639" s="226" t="s">
        <v>19</v>
      </c>
      <c r="K639" s="188">
        <f t="shared" si="27"/>
        <v>4.5999999999999996</v>
      </c>
    </row>
    <row r="640" spans="1:11" s="194" customFormat="1" ht="24.95" customHeight="1" thickBot="1" x14ac:dyDescent="0.4">
      <c r="A640" s="189"/>
      <c r="B640" s="516" t="s">
        <v>189</v>
      </c>
      <c r="C640" s="517"/>
      <c r="D640" s="517"/>
      <c r="E640" s="517"/>
      <c r="F640" s="517"/>
      <c r="G640" s="517"/>
      <c r="H640" s="517"/>
      <c r="I640" s="517"/>
      <c r="J640" s="518"/>
      <c r="K640" s="213">
        <f>SUM(K627:K639)</f>
        <v>232.79999999999998</v>
      </c>
    </row>
    <row r="641" spans="1:11" s="194" customFormat="1" ht="24.95" customHeight="1" x14ac:dyDescent="0.35">
      <c r="A641" s="189"/>
      <c r="B641" s="197"/>
      <c r="C641" s="192" t="str">
        <f>GEDUNG!D182</f>
        <v>Pek. Kaca Mati Daun Pintu dan Jendela t. 5 mm</v>
      </c>
      <c r="D641" s="192"/>
      <c r="E641" s="193"/>
      <c r="F641" s="187"/>
      <c r="G641" s="188"/>
      <c r="H641" s="188"/>
      <c r="I641" s="188"/>
      <c r="J641" s="226"/>
      <c r="K641" s="188"/>
    </row>
    <row r="642" spans="1:11" s="194" customFormat="1" ht="24.95" customHeight="1" x14ac:dyDescent="0.35">
      <c r="A642" s="189"/>
      <c r="B642" s="190"/>
      <c r="C642" s="192"/>
      <c r="D642" s="192"/>
      <c r="E642" s="200" t="s">
        <v>272</v>
      </c>
      <c r="F642" s="187"/>
      <c r="G642" s="188">
        <v>2.52</v>
      </c>
      <c r="H642" s="188"/>
      <c r="I642" s="188">
        <v>1</v>
      </c>
      <c r="J642" s="226" t="s">
        <v>19</v>
      </c>
      <c r="K642" s="188">
        <f>G642*I642</f>
        <v>2.52</v>
      </c>
    </row>
    <row r="643" spans="1:11" s="194" customFormat="1" ht="24.95" customHeight="1" thickBot="1" x14ac:dyDescent="0.4">
      <c r="A643" s="189"/>
      <c r="B643" s="516" t="s">
        <v>189</v>
      </c>
      <c r="C643" s="517"/>
      <c r="D643" s="517"/>
      <c r="E643" s="517"/>
      <c r="F643" s="517"/>
      <c r="G643" s="517"/>
      <c r="H643" s="517"/>
      <c r="I643" s="517"/>
      <c r="J643" s="518"/>
      <c r="K643" s="213">
        <f>K642</f>
        <v>2.52</v>
      </c>
    </row>
    <row r="644" spans="1:11" s="194" customFormat="1" ht="24.95" customHeight="1" x14ac:dyDescent="0.35">
      <c r="A644" s="189"/>
      <c r="B644" s="197"/>
      <c r="C644" s="192" t="e">
        <f>GEDUNG!#REF!</f>
        <v>#REF!</v>
      </c>
      <c r="D644" s="192"/>
      <c r="E644" s="193"/>
      <c r="F644" s="187"/>
      <c r="G644" s="188"/>
      <c r="H644" s="188"/>
      <c r="I644" s="188"/>
      <c r="J644" s="226"/>
      <c r="K644" s="188"/>
    </row>
    <row r="645" spans="1:11" s="194" customFormat="1" ht="24.95" customHeight="1" x14ac:dyDescent="0.35">
      <c r="A645" s="189"/>
      <c r="B645" s="190"/>
      <c r="C645" s="192"/>
      <c r="D645" s="192"/>
      <c r="E645" s="200" t="s">
        <v>272</v>
      </c>
      <c r="F645" s="187"/>
      <c r="G645" s="188">
        <v>1.4</v>
      </c>
      <c r="H645" s="188"/>
      <c r="I645" s="188">
        <v>1</v>
      </c>
      <c r="J645" s="226" t="s">
        <v>19</v>
      </c>
      <c r="K645" s="188">
        <f>G645*I645</f>
        <v>1.4</v>
      </c>
    </row>
    <row r="646" spans="1:11" s="194" customFormat="1" ht="24.95" customHeight="1" x14ac:dyDescent="0.35">
      <c r="A646" s="189"/>
      <c r="B646" s="190"/>
      <c r="C646" s="192"/>
      <c r="D646" s="192"/>
      <c r="E646" s="200" t="s">
        <v>176</v>
      </c>
      <c r="F646" s="187"/>
      <c r="G646" s="188">
        <v>0.45</v>
      </c>
      <c r="H646" s="188"/>
      <c r="I646" s="188">
        <v>2</v>
      </c>
      <c r="J646" s="226" t="s">
        <v>19</v>
      </c>
      <c r="K646" s="188">
        <f t="shared" ref="K646:K651" si="28">G646*I646</f>
        <v>0.9</v>
      </c>
    </row>
    <row r="647" spans="1:11" s="194" customFormat="1" ht="24.95" customHeight="1" x14ac:dyDescent="0.35">
      <c r="A647" s="189"/>
      <c r="B647" s="190"/>
      <c r="C647" s="192"/>
      <c r="D647" s="192"/>
      <c r="E647" s="200" t="s">
        <v>293</v>
      </c>
      <c r="F647" s="187"/>
      <c r="G647" s="188">
        <v>0.67500000000000004</v>
      </c>
      <c r="H647" s="188"/>
      <c r="I647" s="188">
        <v>4</v>
      </c>
      <c r="J647" s="226" t="s">
        <v>19</v>
      </c>
      <c r="K647" s="188">
        <f t="shared" si="28"/>
        <v>2.7</v>
      </c>
    </row>
    <row r="648" spans="1:11" s="194" customFormat="1" ht="24.95" customHeight="1" x14ac:dyDescent="0.35">
      <c r="A648" s="189"/>
      <c r="B648" s="190"/>
      <c r="C648" s="192"/>
      <c r="D648" s="192"/>
      <c r="E648" s="200" t="s">
        <v>298</v>
      </c>
      <c r="F648" s="187"/>
      <c r="G648" s="188">
        <v>1.5</v>
      </c>
      <c r="H648" s="188"/>
      <c r="I648" s="188">
        <v>2</v>
      </c>
      <c r="J648" s="226" t="s">
        <v>19</v>
      </c>
      <c r="K648" s="188">
        <f t="shared" si="28"/>
        <v>3</v>
      </c>
    </row>
    <row r="649" spans="1:11" s="194" customFormat="1" ht="24.95" customHeight="1" x14ac:dyDescent="0.35">
      <c r="A649" s="189"/>
      <c r="B649" s="190"/>
      <c r="C649" s="192"/>
      <c r="D649" s="192"/>
      <c r="E649" s="200" t="s">
        <v>299</v>
      </c>
      <c r="F649" s="187"/>
      <c r="G649" s="188">
        <v>1.125</v>
      </c>
      <c r="H649" s="188"/>
      <c r="I649" s="188">
        <v>6</v>
      </c>
      <c r="J649" s="226" t="s">
        <v>19</v>
      </c>
      <c r="K649" s="188">
        <f t="shared" si="28"/>
        <v>6.75</v>
      </c>
    </row>
    <row r="650" spans="1:11" s="194" customFormat="1" ht="24.95" customHeight="1" x14ac:dyDescent="0.35">
      <c r="A650" s="189"/>
      <c r="B650" s="190"/>
      <c r="C650" s="192"/>
      <c r="D650" s="192"/>
      <c r="E650" s="200" t="s">
        <v>300</v>
      </c>
      <c r="F650" s="187"/>
      <c r="G650" s="188">
        <v>1.54</v>
      </c>
      <c r="H650" s="188"/>
      <c r="I650" s="188">
        <v>1</v>
      </c>
      <c r="J650" s="226" t="s">
        <v>19</v>
      </c>
      <c r="K650" s="188">
        <f t="shared" si="28"/>
        <v>1.54</v>
      </c>
    </row>
    <row r="651" spans="1:11" s="194" customFormat="1" ht="24.95" customHeight="1" x14ac:dyDescent="0.35">
      <c r="A651" s="189"/>
      <c r="B651" s="190"/>
      <c r="C651" s="192"/>
      <c r="D651" s="192"/>
      <c r="E651" s="200" t="s">
        <v>301</v>
      </c>
      <c r="F651" s="187"/>
      <c r="G651" s="188">
        <v>0.12</v>
      </c>
      <c r="H651" s="188"/>
      <c r="I651" s="188">
        <v>4</v>
      </c>
      <c r="J651" s="226" t="s">
        <v>19</v>
      </c>
      <c r="K651" s="188">
        <f t="shared" si="28"/>
        <v>0.48</v>
      </c>
    </row>
    <row r="652" spans="1:11" s="194" customFormat="1" ht="24.95" customHeight="1" x14ac:dyDescent="0.35">
      <c r="A652" s="189"/>
      <c r="B652" s="190"/>
      <c r="C652" s="192"/>
      <c r="D652" s="192"/>
      <c r="E652" s="200" t="s">
        <v>302</v>
      </c>
      <c r="F652" s="187"/>
      <c r="G652" s="188">
        <v>0.1925</v>
      </c>
      <c r="H652" s="188"/>
      <c r="I652" s="188">
        <v>2</v>
      </c>
      <c r="J652" s="226" t="s">
        <v>19</v>
      </c>
      <c r="K652" s="188">
        <f>G652*I652</f>
        <v>0.38500000000000001</v>
      </c>
    </row>
    <row r="653" spans="1:11" s="194" customFormat="1" ht="24.95" customHeight="1" thickBot="1" x14ac:dyDescent="0.4">
      <c r="A653" s="189"/>
      <c r="B653" s="516" t="s">
        <v>189</v>
      </c>
      <c r="C653" s="517"/>
      <c r="D653" s="517"/>
      <c r="E653" s="517"/>
      <c r="F653" s="517"/>
      <c r="G653" s="517"/>
      <c r="H653" s="517"/>
      <c r="I653" s="517"/>
      <c r="J653" s="518"/>
      <c r="K653" s="213">
        <f>SUM(K645:K652)</f>
        <v>17.155000000000001</v>
      </c>
    </row>
    <row r="654" spans="1:11" s="194" customFormat="1" ht="24.95" customHeight="1" x14ac:dyDescent="0.35">
      <c r="A654" s="195"/>
      <c r="B654" s="197" t="str">
        <f>GEDUNG!D199</f>
        <v>LANTAI II</v>
      </c>
      <c r="C654" s="192"/>
      <c r="D654" s="192"/>
      <c r="E654" s="193"/>
      <c r="F654" s="187"/>
      <c r="G654" s="188"/>
      <c r="H654" s="188"/>
      <c r="I654" s="188"/>
      <c r="J654" s="226"/>
      <c r="K654" s="188"/>
    </row>
    <row r="655" spans="1:11" s="194" customFormat="1" ht="24.95" customHeight="1" x14ac:dyDescent="0.35">
      <c r="A655" s="189"/>
      <c r="B655" s="197">
        <v>1</v>
      </c>
      <c r="C655" s="192" t="str">
        <f>GEDUNG!D200</f>
        <v>Pek. Kusen jendela aluminium putih</v>
      </c>
      <c r="D655" s="192"/>
      <c r="E655" s="193"/>
      <c r="F655" s="187"/>
      <c r="G655" s="188"/>
      <c r="H655" s="188"/>
      <c r="I655" s="188"/>
      <c r="J655" s="226"/>
      <c r="K655" s="188"/>
    </row>
    <row r="656" spans="1:11" s="194" customFormat="1" ht="24.95" customHeight="1" x14ac:dyDescent="0.35">
      <c r="A656" s="189"/>
      <c r="B656" s="190"/>
      <c r="C656" s="192"/>
      <c r="D656" s="192"/>
      <c r="E656" s="200" t="s">
        <v>303</v>
      </c>
      <c r="F656" s="187">
        <f>(2.8*2)+(0.9*2)</f>
        <v>7.3999999999999995</v>
      </c>
      <c r="G656" s="188"/>
      <c r="H656" s="188"/>
      <c r="I656" s="188">
        <v>3</v>
      </c>
      <c r="J656" s="226" t="s">
        <v>19</v>
      </c>
      <c r="K656" s="188">
        <f t="shared" ref="K656:K664" si="29">F656*I656</f>
        <v>22.2</v>
      </c>
    </row>
    <row r="657" spans="1:11" s="194" customFormat="1" ht="24.95" customHeight="1" x14ac:dyDescent="0.35">
      <c r="A657" s="189"/>
      <c r="B657" s="190"/>
      <c r="C657" s="192"/>
      <c r="D657" s="192"/>
      <c r="E657" s="200" t="s">
        <v>304</v>
      </c>
      <c r="F657" s="187">
        <f>(2.05*2)+(0.7*2)</f>
        <v>5.5</v>
      </c>
      <c r="G657" s="188"/>
      <c r="H657" s="188"/>
      <c r="I657" s="188">
        <v>4</v>
      </c>
      <c r="J657" s="226" t="s">
        <v>19</v>
      </c>
      <c r="K657" s="188">
        <f t="shared" si="29"/>
        <v>22</v>
      </c>
    </row>
    <row r="658" spans="1:11" s="194" customFormat="1" ht="24.95" customHeight="1" x14ac:dyDescent="0.35">
      <c r="A658" s="189"/>
      <c r="B658" s="190"/>
      <c r="C658" s="192"/>
      <c r="D658" s="192"/>
      <c r="E658" s="200" t="s">
        <v>305</v>
      </c>
      <c r="F658" s="187">
        <f>(1.65*4)+(0.75*9)</f>
        <v>13.35</v>
      </c>
      <c r="G658" s="188"/>
      <c r="H658" s="188"/>
      <c r="I658" s="188">
        <v>6</v>
      </c>
      <c r="J658" s="226" t="s">
        <v>19</v>
      </c>
      <c r="K658" s="188">
        <f t="shared" si="29"/>
        <v>80.099999999999994</v>
      </c>
    </row>
    <row r="659" spans="1:11" s="194" customFormat="1" ht="24.95" customHeight="1" x14ac:dyDescent="0.35">
      <c r="A659" s="189"/>
      <c r="B659" s="190"/>
      <c r="C659" s="192"/>
      <c r="D659" s="192"/>
      <c r="E659" s="200" t="s">
        <v>306</v>
      </c>
      <c r="F659" s="187">
        <f>(1.2*2)+(0.55*2)</f>
        <v>3.5</v>
      </c>
      <c r="G659" s="188"/>
      <c r="H659" s="188"/>
      <c r="I659" s="188">
        <v>2</v>
      </c>
      <c r="J659" s="226" t="s">
        <v>19</v>
      </c>
      <c r="K659" s="188">
        <f t="shared" si="29"/>
        <v>7</v>
      </c>
    </row>
    <row r="660" spans="1:11" s="194" customFormat="1" ht="24.95" customHeight="1" x14ac:dyDescent="0.35">
      <c r="A660" s="189"/>
      <c r="B660" s="190"/>
      <c r="C660" s="192"/>
      <c r="D660" s="192"/>
      <c r="E660" s="200" t="s">
        <v>307</v>
      </c>
      <c r="F660" s="187">
        <f>(1.65*6)+(0.4*9)</f>
        <v>13.499999999999998</v>
      </c>
      <c r="G660" s="188"/>
      <c r="H660" s="188"/>
      <c r="I660" s="188">
        <v>1</v>
      </c>
      <c r="J660" s="226" t="s">
        <v>19</v>
      </c>
      <c r="K660" s="188">
        <f t="shared" si="29"/>
        <v>13.499999999999998</v>
      </c>
    </row>
    <row r="661" spans="1:11" s="194" customFormat="1" ht="24.95" customHeight="1" x14ac:dyDescent="0.35">
      <c r="A661" s="189"/>
      <c r="B661" s="190"/>
      <c r="C661" s="192"/>
      <c r="D661" s="192"/>
      <c r="E661" s="200" t="s">
        <v>308</v>
      </c>
      <c r="F661" s="187">
        <f>(1.1*2)+(0.5*2)</f>
        <v>3.2</v>
      </c>
      <c r="G661" s="188"/>
      <c r="H661" s="188"/>
      <c r="I661" s="188">
        <v>1</v>
      </c>
      <c r="J661" s="226" t="s">
        <v>19</v>
      </c>
      <c r="K661" s="188">
        <f t="shared" si="29"/>
        <v>3.2</v>
      </c>
    </row>
    <row r="662" spans="1:11" s="194" customFormat="1" ht="24.95" customHeight="1" x14ac:dyDescent="0.35">
      <c r="A662" s="189"/>
      <c r="B662" s="190"/>
      <c r="C662" s="192"/>
      <c r="D662" s="192"/>
      <c r="E662" s="200" t="s">
        <v>309</v>
      </c>
      <c r="F662" s="187">
        <f>(1.1*2)+(0.5*2)</f>
        <v>3.2</v>
      </c>
      <c r="G662" s="188"/>
      <c r="H662" s="188"/>
      <c r="I662" s="188">
        <v>1</v>
      </c>
      <c r="J662" s="226" t="s">
        <v>19</v>
      </c>
      <c r="K662" s="188">
        <f t="shared" si="29"/>
        <v>3.2</v>
      </c>
    </row>
    <row r="663" spans="1:11" s="194" customFormat="1" ht="24.95" customHeight="1" x14ac:dyDescent="0.35">
      <c r="A663" s="189"/>
      <c r="B663" s="190"/>
      <c r="C663" s="192"/>
      <c r="D663" s="192"/>
      <c r="E663" s="200" t="s">
        <v>310</v>
      </c>
      <c r="F663" s="187">
        <f>3*3</f>
        <v>9</v>
      </c>
      <c r="G663" s="188"/>
      <c r="H663" s="188"/>
      <c r="I663" s="188">
        <v>1</v>
      </c>
      <c r="J663" s="226" t="s">
        <v>19</v>
      </c>
      <c r="K663" s="188">
        <f t="shared" si="29"/>
        <v>9</v>
      </c>
    </row>
    <row r="664" spans="1:11" s="194" customFormat="1" ht="24.95" customHeight="1" x14ac:dyDescent="0.35">
      <c r="A664" s="189"/>
      <c r="B664" s="190"/>
      <c r="C664" s="192"/>
      <c r="D664" s="192"/>
      <c r="E664" s="200" t="s">
        <v>311</v>
      </c>
      <c r="F664" s="187">
        <f>10.5</f>
        <v>10.5</v>
      </c>
      <c r="G664" s="188"/>
      <c r="H664" s="188"/>
      <c r="I664" s="188">
        <v>2</v>
      </c>
      <c r="J664" s="226" t="s">
        <v>19</v>
      </c>
      <c r="K664" s="188">
        <f t="shared" si="29"/>
        <v>21</v>
      </c>
    </row>
    <row r="665" spans="1:11" s="194" customFormat="1" ht="24.95" customHeight="1" x14ac:dyDescent="0.35">
      <c r="A665" s="189"/>
      <c r="B665" s="190"/>
      <c r="C665" s="192"/>
      <c r="D665" s="192"/>
      <c r="E665" s="200"/>
      <c r="F665" s="187">
        <v>2.91</v>
      </c>
      <c r="G665" s="188"/>
      <c r="H665" s="188"/>
      <c r="I665" s="188">
        <v>2</v>
      </c>
      <c r="J665" s="226" t="s">
        <v>19</v>
      </c>
      <c r="K665" s="188">
        <f>F665*I665</f>
        <v>5.82</v>
      </c>
    </row>
    <row r="666" spans="1:11" s="194" customFormat="1" ht="24.95" customHeight="1" x14ac:dyDescent="0.35">
      <c r="A666" s="189"/>
      <c r="B666" s="190"/>
      <c r="C666" s="192"/>
      <c r="D666" s="192"/>
      <c r="E666" s="200"/>
      <c r="F666" s="187">
        <v>2.0499999999999998</v>
      </c>
      <c r="G666" s="188"/>
      <c r="H666" s="188"/>
      <c r="I666" s="188">
        <v>21</v>
      </c>
      <c r="J666" s="226" t="s">
        <v>19</v>
      </c>
      <c r="K666" s="188">
        <f>F666*I666</f>
        <v>43.05</v>
      </c>
    </row>
    <row r="667" spans="1:11" s="194" customFormat="1" ht="24.95" customHeight="1" x14ac:dyDescent="0.35">
      <c r="A667" s="189"/>
      <c r="B667" s="190"/>
      <c r="C667" s="192"/>
      <c r="D667" s="192"/>
      <c r="E667" s="200"/>
      <c r="F667" s="187">
        <v>0.8</v>
      </c>
      <c r="G667" s="188"/>
      <c r="H667" s="188"/>
      <c r="I667" s="188">
        <v>2</v>
      </c>
      <c r="J667" s="226" t="s">
        <v>19</v>
      </c>
      <c r="K667" s="188">
        <f>F667*I667</f>
        <v>1.6</v>
      </c>
    </row>
    <row r="668" spans="1:11" s="194" customFormat="1" ht="24.95" customHeight="1" x14ac:dyDescent="0.35">
      <c r="A668" s="189"/>
      <c r="B668" s="190"/>
      <c r="C668" s="192"/>
      <c r="D668" s="192"/>
      <c r="E668" s="200"/>
      <c r="F668" s="187">
        <v>0.65</v>
      </c>
      <c r="G668" s="188"/>
      <c r="H668" s="188"/>
      <c r="I668" s="188">
        <v>8</v>
      </c>
      <c r="J668" s="226" t="s">
        <v>19</v>
      </c>
      <c r="K668" s="188">
        <f>F668*I668</f>
        <v>5.2</v>
      </c>
    </row>
    <row r="669" spans="1:11" s="194" customFormat="1" ht="24.95" customHeight="1" thickBot="1" x14ac:dyDescent="0.4">
      <c r="A669" s="189"/>
      <c r="B669" s="516" t="s">
        <v>189</v>
      </c>
      <c r="C669" s="517"/>
      <c r="D669" s="517"/>
      <c r="E669" s="517"/>
      <c r="F669" s="517"/>
      <c r="G669" s="517"/>
      <c r="H669" s="517"/>
      <c r="I669" s="517"/>
      <c r="J669" s="518"/>
      <c r="K669" s="213">
        <f>SUM(K649:K668)</f>
        <v>263.18</v>
      </c>
    </row>
    <row r="670" spans="1:11" s="194" customFormat="1" ht="24.95" customHeight="1" x14ac:dyDescent="0.35">
      <c r="A670" s="189"/>
      <c r="B670" s="197"/>
      <c r="C670" s="192" t="e">
        <f>GEDUNG!#REF!</f>
        <v>#REF!</v>
      </c>
      <c r="D670" s="192"/>
      <c r="E670" s="193"/>
      <c r="F670" s="187"/>
      <c r="G670" s="188"/>
      <c r="H670" s="188"/>
      <c r="I670" s="188"/>
      <c r="J670" s="226"/>
      <c r="K670" s="188"/>
    </row>
    <row r="671" spans="1:11" s="194" customFormat="1" ht="24.95" customHeight="1" x14ac:dyDescent="0.35">
      <c r="A671" s="189"/>
      <c r="B671" s="190"/>
      <c r="C671" s="192"/>
      <c r="D671" s="192"/>
      <c r="E671" s="200"/>
      <c r="F671" s="187"/>
      <c r="G671" s="188">
        <v>0.50819999999999999</v>
      </c>
      <c r="H671" s="188"/>
      <c r="I671" s="188">
        <v>3</v>
      </c>
      <c r="J671" s="226" t="s">
        <v>19</v>
      </c>
      <c r="K671" s="188">
        <f>G671*I671</f>
        <v>1.5246</v>
      </c>
    </row>
    <row r="672" spans="1:11" s="194" customFormat="1" ht="24.95" customHeight="1" thickBot="1" x14ac:dyDescent="0.4">
      <c r="A672" s="189"/>
      <c r="B672" s="516" t="s">
        <v>189</v>
      </c>
      <c r="C672" s="517"/>
      <c r="D672" s="517"/>
      <c r="E672" s="517"/>
      <c r="F672" s="517"/>
      <c r="G672" s="517"/>
      <c r="H672" s="517"/>
      <c r="I672" s="517"/>
      <c r="J672" s="518"/>
      <c r="K672" s="213">
        <f>K671</f>
        <v>1.5246</v>
      </c>
    </row>
    <row r="673" spans="1:11" s="194" customFormat="1" ht="24.95" customHeight="1" x14ac:dyDescent="0.35">
      <c r="A673" s="189"/>
      <c r="B673" s="197"/>
      <c r="C673" s="192" t="e">
        <f>GEDUNG!#REF!</f>
        <v>#REF!</v>
      </c>
      <c r="D673" s="192"/>
      <c r="E673" s="193"/>
      <c r="F673" s="187"/>
      <c r="G673" s="188"/>
      <c r="H673" s="188"/>
      <c r="I673" s="188"/>
      <c r="J673" s="226"/>
      <c r="K673" s="188"/>
    </row>
    <row r="674" spans="1:11" s="194" customFormat="1" ht="24.95" customHeight="1" x14ac:dyDescent="0.35">
      <c r="A674" s="189"/>
      <c r="B674" s="190"/>
      <c r="C674" s="192"/>
      <c r="D674" s="192"/>
      <c r="E674" s="200" t="s">
        <v>305</v>
      </c>
      <c r="F674" s="187"/>
      <c r="G674" s="188">
        <v>1.125</v>
      </c>
      <c r="H674" s="188"/>
      <c r="I674" s="188">
        <v>6</v>
      </c>
      <c r="J674" s="226" t="s">
        <v>19</v>
      </c>
      <c r="K674" s="188">
        <f>G674*I674</f>
        <v>6.75</v>
      </c>
    </row>
    <row r="675" spans="1:11" s="194" customFormat="1" ht="24.95" customHeight="1" x14ac:dyDescent="0.35">
      <c r="A675" s="189"/>
      <c r="B675" s="190"/>
      <c r="C675" s="192"/>
      <c r="D675" s="192"/>
      <c r="E675" s="200" t="s">
        <v>306</v>
      </c>
      <c r="F675" s="187"/>
      <c r="G675" s="188">
        <v>0.1925</v>
      </c>
      <c r="H675" s="188"/>
      <c r="I675" s="188">
        <v>4</v>
      </c>
      <c r="J675" s="226" t="s">
        <v>19</v>
      </c>
      <c r="K675" s="188">
        <f>G675*I675</f>
        <v>0.77</v>
      </c>
    </row>
    <row r="676" spans="1:11" s="194" customFormat="1" ht="24.95" customHeight="1" x14ac:dyDescent="0.35">
      <c r="A676" s="189"/>
      <c r="B676" s="190"/>
      <c r="C676" s="192"/>
      <c r="D676" s="192"/>
      <c r="E676" s="200" t="s">
        <v>307</v>
      </c>
      <c r="F676" s="187"/>
      <c r="G676" s="188">
        <v>0.6</v>
      </c>
      <c r="H676" s="188"/>
      <c r="I676" s="188">
        <v>1</v>
      </c>
      <c r="J676" s="226" t="s">
        <v>19</v>
      </c>
      <c r="K676" s="188">
        <f>G676*I676</f>
        <v>0.6</v>
      </c>
    </row>
    <row r="677" spans="1:11" s="194" customFormat="1" ht="24.95" customHeight="1" x14ac:dyDescent="0.35">
      <c r="A677" s="189"/>
      <c r="B677" s="190"/>
      <c r="C677" s="192"/>
      <c r="D677" s="192"/>
      <c r="E677" s="200" t="s">
        <v>311</v>
      </c>
      <c r="F677" s="187"/>
      <c r="G677" s="188">
        <v>15.4275</v>
      </c>
      <c r="H677" s="188"/>
      <c r="I677" s="188">
        <v>1</v>
      </c>
      <c r="J677" s="226" t="s">
        <v>19</v>
      </c>
      <c r="K677" s="188">
        <f>G677*I677</f>
        <v>15.4275</v>
      </c>
    </row>
    <row r="678" spans="1:11" s="194" customFormat="1" ht="24.95" customHeight="1" x14ac:dyDescent="0.35">
      <c r="A678" s="189"/>
      <c r="B678" s="190"/>
      <c r="C678" s="192"/>
      <c r="D678" s="192"/>
      <c r="E678" s="200"/>
      <c r="F678" s="187"/>
      <c r="G678" s="188">
        <v>4.8650000000000002</v>
      </c>
      <c r="H678" s="188"/>
      <c r="I678" s="188">
        <v>1</v>
      </c>
      <c r="J678" s="226" t="s">
        <v>19</v>
      </c>
      <c r="K678" s="188">
        <f>G678*I678</f>
        <v>4.8650000000000002</v>
      </c>
    </row>
    <row r="679" spans="1:11" s="194" customFormat="1" ht="24.95" customHeight="1" thickBot="1" x14ac:dyDescent="0.4">
      <c r="A679" s="189"/>
      <c r="B679" s="516" t="s">
        <v>189</v>
      </c>
      <c r="C679" s="517"/>
      <c r="D679" s="517"/>
      <c r="E679" s="517"/>
      <c r="F679" s="517"/>
      <c r="G679" s="517"/>
      <c r="H679" s="517"/>
      <c r="I679" s="517"/>
      <c r="J679" s="518"/>
      <c r="K679" s="213">
        <f>SUM(K674:K678)</f>
        <v>28.412500000000001</v>
      </c>
    </row>
    <row r="680" spans="1:11" s="194" customFormat="1" ht="24.75" customHeight="1" x14ac:dyDescent="0.35">
      <c r="A680" s="204" t="s">
        <v>170</v>
      </c>
      <c r="B680" s="205" t="str">
        <f>GEDUNG!D215</f>
        <v>PEKERJAAN SANITASI &amp; PIPA</v>
      </c>
      <c r="C680" s="192"/>
      <c r="D680" s="192"/>
      <c r="E680" s="193"/>
      <c r="F680" s="187"/>
      <c r="G680" s="188"/>
      <c r="H680" s="188"/>
      <c r="I680" s="188"/>
      <c r="J680" s="226"/>
      <c r="K680" s="188"/>
    </row>
    <row r="681" spans="1:11" s="194" customFormat="1" ht="24.75" customHeight="1" x14ac:dyDescent="0.35">
      <c r="A681" s="204"/>
      <c r="B681" s="205"/>
      <c r="C681" s="192" t="str">
        <f>GEDUNG!D216</f>
        <v>LANTAI I</v>
      </c>
      <c r="D681" s="192"/>
      <c r="E681" s="193"/>
      <c r="F681" s="187"/>
      <c r="G681" s="188"/>
      <c r="H681" s="188"/>
      <c r="I681" s="188"/>
      <c r="J681" s="226"/>
      <c r="K681" s="188"/>
    </row>
    <row r="682" spans="1:11" s="194" customFormat="1" ht="24.95" customHeight="1" x14ac:dyDescent="0.35">
      <c r="A682" s="189"/>
      <c r="B682" s="197">
        <v>1</v>
      </c>
      <c r="C682" s="192" t="e">
        <f>GEDUNG!#REF!</f>
        <v>#REF!</v>
      </c>
      <c r="D682" s="192"/>
      <c r="E682" s="193"/>
      <c r="F682" s="187"/>
      <c r="G682" s="188"/>
      <c r="H682" s="188"/>
      <c r="I682" s="188"/>
      <c r="J682" s="226"/>
      <c r="K682" s="188"/>
    </row>
    <row r="683" spans="1:11" s="194" customFormat="1" ht="24.95" customHeight="1" x14ac:dyDescent="0.35">
      <c r="A683" s="189"/>
      <c r="B683" s="197"/>
      <c r="C683" s="192"/>
      <c r="D683" s="192"/>
      <c r="E683" s="193"/>
      <c r="F683" s="187"/>
      <c r="G683" s="188"/>
      <c r="H683" s="188"/>
      <c r="I683" s="188">
        <v>1</v>
      </c>
      <c r="J683" s="226" t="s">
        <v>18</v>
      </c>
      <c r="K683" s="188">
        <f>I683</f>
        <v>1</v>
      </c>
    </row>
    <row r="684" spans="1:11" s="194" customFormat="1" ht="24.95" customHeight="1" thickBot="1" x14ac:dyDescent="0.4">
      <c r="A684" s="189"/>
      <c r="B684" s="516" t="s">
        <v>189</v>
      </c>
      <c r="C684" s="517"/>
      <c r="D684" s="517"/>
      <c r="E684" s="517"/>
      <c r="F684" s="517"/>
      <c r="G684" s="517"/>
      <c r="H684" s="517"/>
      <c r="I684" s="517"/>
      <c r="J684" s="518"/>
      <c r="K684" s="213">
        <f>SUM(K683:K683)</f>
        <v>1</v>
      </c>
    </row>
    <row r="685" spans="1:11" s="194" customFormat="1" ht="24.95" customHeight="1" x14ac:dyDescent="0.35">
      <c r="A685" s="189"/>
      <c r="B685" s="197">
        <v>2</v>
      </c>
      <c r="C685" s="192" t="str">
        <f>GEDUNG!D217</f>
        <v>Pek. Pas. Kloset Duduk, Toto CW6307 TC2825SJ</v>
      </c>
      <c r="D685" s="192"/>
      <c r="E685" s="193"/>
      <c r="F685" s="187"/>
      <c r="G685" s="188"/>
      <c r="H685" s="188"/>
      <c r="I685" s="188"/>
      <c r="J685" s="226"/>
      <c r="K685" s="188"/>
    </row>
    <row r="686" spans="1:11" s="194" customFormat="1" ht="24.95" customHeight="1" x14ac:dyDescent="0.35">
      <c r="A686" s="189"/>
      <c r="B686" s="197"/>
      <c r="C686" s="192"/>
      <c r="D686" s="192"/>
      <c r="E686" s="193"/>
      <c r="F686" s="187"/>
      <c r="G686" s="188"/>
      <c r="H686" s="188"/>
      <c r="I686" s="188">
        <v>4</v>
      </c>
      <c r="J686" s="226" t="s">
        <v>52</v>
      </c>
      <c r="K686" s="188">
        <f>I686</f>
        <v>4</v>
      </c>
    </row>
    <row r="687" spans="1:11" s="194" customFormat="1" ht="24.95" customHeight="1" thickBot="1" x14ac:dyDescent="0.4">
      <c r="A687" s="189"/>
      <c r="B687" s="516" t="s">
        <v>189</v>
      </c>
      <c r="C687" s="517"/>
      <c r="D687" s="517"/>
      <c r="E687" s="517"/>
      <c r="F687" s="517"/>
      <c r="G687" s="517"/>
      <c r="H687" s="517"/>
      <c r="I687" s="517"/>
      <c r="J687" s="518"/>
      <c r="K687" s="213">
        <f>SUM(K686:K686)</f>
        <v>4</v>
      </c>
    </row>
    <row r="688" spans="1:11" s="194" customFormat="1" ht="24.95" customHeight="1" x14ac:dyDescent="0.35">
      <c r="A688" s="189"/>
      <c r="B688" s="197">
        <v>3</v>
      </c>
      <c r="C688" s="192" t="str">
        <f>GEDUNG!D218</f>
        <v>Pek. Pas. Hand Spray, Toto TX403SMCRB</v>
      </c>
      <c r="D688" s="192"/>
      <c r="E688" s="193"/>
      <c r="F688" s="187"/>
      <c r="G688" s="188"/>
      <c r="H688" s="188"/>
      <c r="I688" s="188"/>
      <c r="J688" s="226"/>
      <c r="K688" s="188"/>
    </row>
    <row r="689" spans="1:11" s="194" customFormat="1" ht="24.95" customHeight="1" x14ac:dyDescent="0.35">
      <c r="A689" s="189"/>
      <c r="B689" s="197"/>
      <c r="C689" s="192"/>
      <c r="D689" s="192"/>
      <c r="E689" s="193"/>
      <c r="F689" s="187"/>
      <c r="G689" s="188"/>
      <c r="H689" s="188"/>
      <c r="I689" s="188">
        <v>4</v>
      </c>
      <c r="J689" s="226" t="s">
        <v>52</v>
      </c>
      <c r="K689" s="188">
        <f>I689</f>
        <v>4</v>
      </c>
    </row>
    <row r="690" spans="1:11" s="194" customFormat="1" ht="24.95" customHeight="1" thickBot="1" x14ac:dyDescent="0.4">
      <c r="A690" s="189"/>
      <c r="B690" s="516" t="s">
        <v>189</v>
      </c>
      <c r="C690" s="517"/>
      <c r="D690" s="517"/>
      <c r="E690" s="517"/>
      <c r="F690" s="517"/>
      <c r="G690" s="517"/>
      <c r="H690" s="517"/>
      <c r="I690" s="517"/>
      <c r="J690" s="518"/>
      <c r="K690" s="213">
        <f>SUM(K689:K689)</f>
        <v>4</v>
      </c>
    </row>
    <row r="691" spans="1:11" s="194" customFormat="1" ht="24.95" customHeight="1" x14ac:dyDescent="0.35">
      <c r="A691" s="189"/>
      <c r="B691" s="197">
        <v>4</v>
      </c>
      <c r="C691" s="192" t="str">
        <f>GEDUNG!D219</f>
        <v>Pek. Pas. Wastafel, Toto LW236CJ</v>
      </c>
      <c r="D691" s="192"/>
      <c r="E691" s="193"/>
      <c r="F691" s="187"/>
      <c r="G691" s="188"/>
      <c r="H691" s="188"/>
      <c r="I691" s="188"/>
      <c r="J691" s="226"/>
      <c r="K691" s="188"/>
    </row>
    <row r="692" spans="1:11" s="194" customFormat="1" ht="24.95" customHeight="1" x14ac:dyDescent="0.35">
      <c r="A692" s="189"/>
      <c r="B692" s="197"/>
      <c r="C692" s="192"/>
      <c r="D692" s="192"/>
      <c r="E692" s="193"/>
      <c r="F692" s="187"/>
      <c r="G692" s="188"/>
      <c r="H692" s="188"/>
      <c r="I692" s="188">
        <v>1</v>
      </c>
      <c r="J692" s="226" t="s">
        <v>52</v>
      </c>
      <c r="K692" s="188">
        <f>I692</f>
        <v>1</v>
      </c>
    </row>
    <row r="693" spans="1:11" s="194" customFormat="1" ht="24.95" customHeight="1" thickBot="1" x14ac:dyDescent="0.4">
      <c r="A693" s="189"/>
      <c r="B693" s="516" t="s">
        <v>189</v>
      </c>
      <c r="C693" s="517"/>
      <c r="D693" s="517"/>
      <c r="E693" s="517"/>
      <c r="F693" s="517"/>
      <c r="G693" s="517"/>
      <c r="H693" s="517"/>
      <c r="I693" s="517"/>
      <c r="J693" s="518"/>
      <c r="K693" s="213">
        <f>SUM(K692:K692)</f>
        <v>1</v>
      </c>
    </row>
    <row r="694" spans="1:11" s="194" customFormat="1" ht="24.95" customHeight="1" x14ac:dyDescent="0.35">
      <c r="A694" s="189"/>
      <c r="B694" s="197">
        <v>5</v>
      </c>
      <c r="C694" s="192" t="str">
        <f>GEDUNG!D221</f>
        <v>Pek. Pas. Keran Air Wastafel, Toto TX109LRR</v>
      </c>
      <c r="D694" s="192"/>
      <c r="E694" s="193"/>
      <c r="F694" s="187"/>
      <c r="G694" s="188"/>
      <c r="H694" s="188"/>
      <c r="I694" s="188"/>
      <c r="J694" s="226"/>
      <c r="K694" s="188"/>
    </row>
    <row r="695" spans="1:11" s="194" customFormat="1" ht="24.95" customHeight="1" x14ac:dyDescent="0.35">
      <c r="A695" s="189"/>
      <c r="B695" s="197"/>
      <c r="C695" s="192"/>
      <c r="D695" s="192"/>
      <c r="E695" s="193"/>
      <c r="F695" s="187"/>
      <c r="G695" s="188"/>
      <c r="H695" s="188"/>
      <c r="I695" s="188">
        <v>1</v>
      </c>
      <c r="J695" s="226" t="s">
        <v>52</v>
      </c>
      <c r="K695" s="188">
        <f>I695</f>
        <v>1</v>
      </c>
    </row>
    <row r="696" spans="1:11" s="194" customFormat="1" ht="24.95" customHeight="1" thickBot="1" x14ac:dyDescent="0.4">
      <c r="A696" s="189"/>
      <c r="B696" s="516" t="s">
        <v>189</v>
      </c>
      <c r="C696" s="517"/>
      <c r="D696" s="517"/>
      <c r="E696" s="517"/>
      <c r="F696" s="517"/>
      <c r="G696" s="517"/>
      <c r="H696" s="517"/>
      <c r="I696" s="517"/>
      <c r="J696" s="518"/>
      <c r="K696" s="213">
        <f>SUM(K695)</f>
        <v>1</v>
      </c>
    </row>
    <row r="697" spans="1:11" s="194" customFormat="1" ht="24.95" customHeight="1" x14ac:dyDescent="0.35">
      <c r="A697" s="189"/>
      <c r="B697" s="197">
        <v>6</v>
      </c>
      <c r="C697" s="192" t="str">
        <f>GEDUNG!D222</f>
        <v>Pek. Pas. Pipa 1/2 Air Bersih</v>
      </c>
      <c r="D697" s="192"/>
      <c r="E697" s="193"/>
      <c r="F697" s="187"/>
      <c r="G697" s="188"/>
      <c r="H697" s="188"/>
      <c r="I697" s="188"/>
      <c r="J697" s="226"/>
      <c r="K697" s="188"/>
    </row>
    <row r="698" spans="1:11" s="194" customFormat="1" ht="24.95" customHeight="1" x14ac:dyDescent="0.35">
      <c r="A698" s="189"/>
      <c r="B698" s="197"/>
      <c r="C698" s="192"/>
      <c r="D698" s="192"/>
      <c r="E698" s="193"/>
      <c r="F698" s="187"/>
      <c r="G698" s="188"/>
      <c r="H698" s="188">
        <v>4</v>
      </c>
      <c r="I698" s="188">
        <v>1</v>
      </c>
      <c r="J698" s="226" t="s">
        <v>19</v>
      </c>
      <c r="K698" s="188">
        <f>H698*I698</f>
        <v>4</v>
      </c>
    </row>
    <row r="699" spans="1:11" s="194" customFormat="1" ht="24.95" customHeight="1" thickBot="1" x14ac:dyDescent="0.4">
      <c r="A699" s="189"/>
      <c r="B699" s="516" t="s">
        <v>189</v>
      </c>
      <c r="C699" s="517"/>
      <c r="D699" s="517"/>
      <c r="E699" s="517"/>
      <c r="F699" s="517"/>
      <c r="G699" s="517"/>
      <c r="H699" s="517"/>
      <c r="I699" s="517"/>
      <c r="J699" s="518"/>
      <c r="K699" s="213">
        <f>SUM(K698:K698)</f>
        <v>4</v>
      </c>
    </row>
    <row r="700" spans="1:11" s="194" customFormat="1" ht="24.95" customHeight="1" x14ac:dyDescent="0.35">
      <c r="A700" s="189"/>
      <c r="B700" s="197">
        <v>7</v>
      </c>
      <c r="C700" s="192" t="e">
        <f>GEDUNG!#REF!</f>
        <v>#REF!</v>
      </c>
      <c r="D700" s="192"/>
      <c r="E700" s="193"/>
      <c r="F700" s="187"/>
      <c r="G700" s="188"/>
      <c r="H700" s="188"/>
      <c r="I700" s="188"/>
      <c r="J700" s="226"/>
      <c r="K700" s="188"/>
    </row>
    <row r="701" spans="1:11" s="194" customFormat="1" ht="24.95" customHeight="1" x14ac:dyDescent="0.35">
      <c r="A701" s="189"/>
      <c r="B701" s="197"/>
      <c r="C701" s="192"/>
      <c r="D701" s="192"/>
      <c r="E701" s="193"/>
      <c r="F701" s="187"/>
      <c r="G701" s="188"/>
      <c r="H701" s="188">
        <v>30</v>
      </c>
      <c r="I701" s="188">
        <v>1</v>
      </c>
      <c r="J701" s="226" t="s">
        <v>19</v>
      </c>
      <c r="K701" s="188">
        <f>H701*I701</f>
        <v>30</v>
      </c>
    </row>
    <row r="702" spans="1:11" s="194" customFormat="1" ht="24.95" customHeight="1" thickBot="1" x14ac:dyDescent="0.4">
      <c r="A702" s="189"/>
      <c r="B702" s="516" t="s">
        <v>189</v>
      </c>
      <c r="C702" s="517"/>
      <c r="D702" s="517"/>
      <c r="E702" s="517"/>
      <c r="F702" s="517"/>
      <c r="G702" s="517"/>
      <c r="H702" s="517"/>
      <c r="I702" s="517"/>
      <c r="J702" s="518"/>
      <c r="K702" s="213">
        <f>SUM(K701:K701)</f>
        <v>30</v>
      </c>
    </row>
    <row r="703" spans="1:11" s="194" customFormat="1" ht="24.95" customHeight="1" x14ac:dyDescent="0.35">
      <c r="A703" s="189"/>
      <c r="B703" s="197">
        <v>8</v>
      </c>
      <c r="C703" s="192" t="str">
        <f>GEDUNG!D223</f>
        <v>Pek. Pas. Pipa 3" Air Kotor (Grey Water)</v>
      </c>
      <c r="D703" s="192"/>
      <c r="E703" s="193"/>
      <c r="F703" s="187"/>
      <c r="G703" s="188"/>
      <c r="H703" s="188"/>
      <c r="I703" s="188"/>
      <c r="J703" s="226"/>
      <c r="K703" s="188"/>
    </row>
    <row r="704" spans="1:11" s="194" customFormat="1" ht="24.95" customHeight="1" x14ac:dyDescent="0.35">
      <c r="A704" s="189"/>
      <c r="B704" s="197"/>
      <c r="C704" s="192"/>
      <c r="D704" s="192"/>
      <c r="E704" s="193"/>
      <c r="F704" s="187"/>
      <c r="G704" s="188"/>
      <c r="H704" s="188">
        <v>60</v>
      </c>
      <c r="I704" s="188">
        <v>1</v>
      </c>
      <c r="J704" s="226" t="s">
        <v>19</v>
      </c>
      <c r="K704" s="188">
        <f>H704*I704</f>
        <v>60</v>
      </c>
    </row>
    <row r="705" spans="1:11" s="194" customFormat="1" ht="24.95" customHeight="1" thickBot="1" x14ac:dyDescent="0.4">
      <c r="A705" s="189"/>
      <c r="B705" s="516" t="s">
        <v>189</v>
      </c>
      <c r="C705" s="517"/>
      <c r="D705" s="517"/>
      <c r="E705" s="517"/>
      <c r="F705" s="517"/>
      <c r="G705" s="517"/>
      <c r="H705" s="517"/>
      <c r="I705" s="517"/>
      <c r="J705" s="518"/>
      <c r="K705" s="213">
        <f>SUM(K704:K704)</f>
        <v>60</v>
      </c>
    </row>
    <row r="706" spans="1:11" s="194" customFormat="1" ht="24.95" customHeight="1" x14ac:dyDescent="0.35">
      <c r="A706" s="189"/>
      <c r="B706" s="197">
        <v>9</v>
      </c>
      <c r="C706" s="192" t="str">
        <f>GEDUNG!D224</f>
        <v>Pek. Bak Kontrol Pipa 3" Air Kotor (Grey Water)</v>
      </c>
      <c r="D706" s="192"/>
      <c r="E706" s="193"/>
      <c r="F706" s="187"/>
      <c r="G706" s="188"/>
      <c r="H706" s="188"/>
      <c r="I706" s="188"/>
      <c r="J706" s="226"/>
      <c r="K706" s="188"/>
    </row>
    <row r="707" spans="1:11" s="194" customFormat="1" ht="24.95" customHeight="1" x14ac:dyDescent="0.35">
      <c r="A707" s="189"/>
      <c r="B707" s="197"/>
      <c r="C707" s="192"/>
      <c r="D707" s="192"/>
      <c r="E707" s="193"/>
      <c r="F707" s="187"/>
      <c r="G707" s="188"/>
      <c r="H707" s="188"/>
      <c r="I707" s="188">
        <v>2</v>
      </c>
      <c r="J707" s="226" t="s">
        <v>52</v>
      </c>
      <c r="K707" s="188">
        <f>I707</f>
        <v>2</v>
      </c>
    </row>
    <row r="708" spans="1:11" s="194" customFormat="1" ht="24.95" customHeight="1" thickBot="1" x14ac:dyDescent="0.4">
      <c r="A708" s="189"/>
      <c r="B708" s="516" t="s">
        <v>189</v>
      </c>
      <c r="C708" s="517"/>
      <c r="D708" s="517"/>
      <c r="E708" s="517"/>
      <c r="F708" s="517"/>
      <c r="G708" s="517"/>
      <c r="H708" s="517"/>
      <c r="I708" s="517"/>
      <c r="J708" s="518"/>
      <c r="K708" s="213">
        <f>SUM(K707:K707)</f>
        <v>2</v>
      </c>
    </row>
    <row r="709" spans="1:11" s="194" customFormat="1" ht="24.95" customHeight="1" x14ac:dyDescent="0.35">
      <c r="A709" s="189"/>
      <c r="B709" s="197">
        <v>10</v>
      </c>
      <c r="C709" s="192" t="str">
        <f>GEDUNG!D225</f>
        <v>Pek. Pas. Pipa 4" Air Kotor (Black Water)</v>
      </c>
      <c r="D709" s="192"/>
      <c r="E709" s="193"/>
      <c r="F709" s="187"/>
      <c r="G709" s="188"/>
      <c r="H709" s="188"/>
      <c r="I709" s="188"/>
      <c r="J709" s="226"/>
      <c r="K709" s="188"/>
    </row>
    <row r="710" spans="1:11" s="194" customFormat="1" ht="24.95" customHeight="1" x14ac:dyDescent="0.35">
      <c r="A710" s="189"/>
      <c r="B710" s="197"/>
      <c r="C710" s="192"/>
      <c r="D710" s="192"/>
      <c r="E710" s="193"/>
      <c r="F710" s="187"/>
      <c r="G710" s="188"/>
      <c r="H710" s="188">
        <v>24</v>
      </c>
      <c r="I710" s="188">
        <v>1</v>
      </c>
      <c r="J710" s="226" t="s">
        <v>52</v>
      </c>
      <c r="K710" s="188">
        <f>H710*I710</f>
        <v>24</v>
      </c>
    </row>
    <row r="711" spans="1:11" s="194" customFormat="1" ht="24.95" customHeight="1" thickBot="1" x14ac:dyDescent="0.4">
      <c r="A711" s="189"/>
      <c r="B711" s="516" t="s">
        <v>189</v>
      </c>
      <c r="C711" s="517"/>
      <c r="D711" s="517"/>
      <c r="E711" s="517"/>
      <c r="F711" s="517"/>
      <c r="G711" s="517"/>
      <c r="H711" s="517"/>
      <c r="I711" s="517"/>
      <c r="J711" s="518"/>
      <c r="K711" s="213">
        <f>SUM(K710:K710)</f>
        <v>24</v>
      </c>
    </row>
    <row r="712" spans="1:11" s="194" customFormat="1" ht="24.95" customHeight="1" x14ac:dyDescent="0.35">
      <c r="A712" s="189"/>
      <c r="B712" s="197">
        <v>11</v>
      </c>
      <c r="C712" s="192" t="str">
        <f>GEDUNG!D226</f>
        <v>Pek. Pas. Floor Drain Stainless Steel, Toto TX1DBV1</v>
      </c>
      <c r="D712" s="192"/>
      <c r="E712" s="193"/>
      <c r="F712" s="187"/>
      <c r="G712" s="188"/>
      <c r="H712" s="188"/>
      <c r="I712" s="188"/>
      <c r="J712" s="226"/>
      <c r="K712" s="188"/>
    </row>
    <row r="713" spans="1:11" s="194" customFormat="1" ht="24.95" customHeight="1" x14ac:dyDescent="0.35">
      <c r="A713" s="189"/>
      <c r="B713" s="197"/>
      <c r="C713" s="192"/>
      <c r="D713" s="192"/>
      <c r="E713" s="193"/>
      <c r="F713" s="187"/>
      <c r="G713" s="188"/>
      <c r="H713" s="188"/>
      <c r="I713" s="188">
        <v>4</v>
      </c>
      <c r="J713" s="226" t="s">
        <v>52</v>
      </c>
      <c r="K713" s="188">
        <f>I713</f>
        <v>4</v>
      </c>
    </row>
    <row r="714" spans="1:11" s="194" customFormat="1" ht="24.95" customHeight="1" thickBot="1" x14ac:dyDescent="0.4">
      <c r="A714" s="189"/>
      <c r="B714" s="516" t="s">
        <v>189</v>
      </c>
      <c r="C714" s="517"/>
      <c r="D714" s="517"/>
      <c r="E714" s="517"/>
      <c r="F714" s="517"/>
      <c r="G714" s="517"/>
      <c r="H714" s="517"/>
      <c r="I714" s="517"/>
      <c r="J714" s="518"/>
      <c r="K714" s="213">
        <f>SUM(K713:K713)</f>
        <v>4</v>
      </c>
    </row>
    <row r="715" spans="1:11" s="194" customFormat="1" ht="24.95" customHeight="1" x14ac:dyDescent="0.35">
      <c r="A715" s="189"/>
      <c r="B715" s="197">
        <v>12</v>
      </c>
      <c r="C715" s="192" t="str">
        <f>GEDUNG!D227</f>
        <v xml:space="preserve">Pek. Septic Tank Biofill </v>
      </c>
      <c r="D715" s="192"/>
      <c r="E715" s="193"/>
      <c r="F715" s="187"/>
      <c r="G715" s="188"/>
      <c r="H715" s="188"/>
      <c r="I715" s="188"/>
      <c r="J715" s="226"/>
      <c r="K715" s="188"/>
    </row>
    <row r="716" spans="1:11" s="194" customFormat="1" ht="24.95" customHeight="1" x14ac:dyDescent="0.35">
      <c r="A716" s="189"/>
      <c r="B716" s="197"/>
      <c r="C716" s="192"/>
      <c r="D716" s="192"/>
      <c r="E716" s="193"/>
      <c r="F716" s="187"/>
      <c r="G716" s="188"/>
      <c r="H716" s="188"/>
      <c r="I716" s="188">
        <v>1</v>
      </c>
      <c r="J716" s="226" t="s">
        <v>52</v>
      </c>
      <c r="K716" s="188">
        <f>I716</f>
        <v>1</v>
      </c>
    </row>
    <row r="717" spans="1:11" s="194" customFormat="1" ht="24.95" customHeight="1" thickBot="1" x14ac:dyDescent="0.4">
      <c r="A717" s="189"/>
      <c r="B717" s="516" t="s">
        <v>189</v>
      </c>
      <c r="C717" s="517"/>
      <c r="D717" s="517"/>
      <c r="E717" s="517"/>
      <c r="F717" s="517"/>
      <c r="G717" s="517"/>
      <c r="H717" s="517"/>
      <c r="I717" s="517"/>
      <c r="J717" s="518"/>
      <c r="K717" s="213">
        <f>SUM(K716:K716)</f>
        <v>1</v>
      </c>
    </row>
    <row r="718" spans="1:11" s="194" customFormat="1" ht="24.95" customHeight="1" x14ac:dyDescent="0.35">
      <c r="A718" s="189"/>
      <c r="B718" s="197"/>
      <c r="C718" s="192" t="str">
        <f>GEDUNG!D231</f>
        <v>LANTAI II</v>
      </c>
      <c r="D718" s="192"/>
      <c r="E718" s="193"/>
      <c r="F718" s="187"/>
      <c r="G718" s="188"/>
      <c r="H718" s="188"/>
      <c r="I718" s="188"/>
      <c r="J718" s="226"/>
      <c r="K718" s="188"/>
    </row>
    <row r="719" spans="1:11" s="194" customFormat="1" ht="24.95" customHeight="1" x14ac:dyDescent="0.35">
      <c r="A719" s="189"/>
      <c r="B719" s="197">
        <v>1</v>
      </c>
      <c r="C719" s="192" t="e">
        <f>GEDUNG!#REF!</f>
        <v>#REF!</v>
      </c>
      <c r="D719" s="192"/>
      <c r="E719" s="193"/>
      <c r="F719" s="187"/>
      <c r="G719" s="188"/>
      <c r="H719" s="188"/>
      <c r="I719" s="188"/>
      <c r="J719" s="226"/>
      <c r="K719" s="188"/>
    </row>
    <row r="720" spans="1:11" s="194" customFormat="1" ht="24.95" customHeight="1" x14ac:dyDescent="0.35">
      <c r="A720" s="189"/>
      <c r="B720" s="197"/>
      <c r="C720" s="192"/>
      <c r="D720" s="192"/>
      <c r="E720" s="193"/>
      <c r="F720" s="187"/>
      <c r="G720" s="188"/>
      <c r="H720" s="188"/>
      <c r="I720" s="188">
        <v>4</v>
      </c>
      <c r="J720" s="226" t="s">
        <v>52</v>
      </c>
      <c r="K720" s="188">
        <f>I720</f>
        <v>4</v>
      </c>
    </row>
    <row r="721" spans="1:11" s="194" customFormat="1" ht="24.95" customHeight="1" thickBot="1" x14ac:dyDescent="0.4">
      <c r="A721" s="189"/>
      <c r="B721" s="516" t="s">
        <v>189</v>
      </c>
      <c r="C721" s="517"/>
      <c r="D721" s="517"/>
      <c r="E721" s="517"/>
      <c r="F721" s="517"/>
      <c r="G721" s="517"/>
      <c r="H721" s="517"/>
      <c r="I721" s="517"/>
      <c r="J721" s="518"/>
      <c r="K721" s="213">
        <f>SUM(K720:K720)</f>
        <v>4</v>
      </c>
    </row>
    <row r="722" spans="1:11" s="194" customFormat="1" ht="24.95" customHeight="1" x14ac:dyDescent="0.35">
      <c r="A722" s="189"/>
      <c r="B722" s="197">
        <v>2</v>
      </c>
      <c r="C722" s="192" t="e">
        <f>GEDUNG!#REF!</f>
        <v>#REF!</v>
      </c>
      <c r="D722" s="192"/>
      <c r="E722" s="193"/>
      <c r="F722" s="187"/>
      <c r="G722" s="188"/>
      <c r="H722" s="188"/>
      <c r="I722" s="188"/>
      <c r="J722" s="226"/>
      <c r="K722" s="188"/>
    </row>
    <row r="723" spans="1:11" s="194" customFormat="1" ht="24.95" customHeight="1" x14ac:dyDescent="0.35">
      <c r="A723" s="189"/>
      <c r="B723" s="197"/>
      <c r="C723" s="192"/>
      <c r="D723" s="192"/>
      <c r="E723" s="193"/>
      <c r="F723" s="187"/>
      <c r="G723" s="188"/>
      <c r="H723" s="188"/>
      <c r="I723" s="188">
        <v>4</v>
      </c>
      <c r="J723" s="226" t="s">
        <v>52</v>
      </c>
      <c r="K723" s="188">
        <f>I723</f>
        <v>4</v>
      </c>
    </row>
    <row r="724" spans="1:11" s="194" customFormat="1" ht="24.95" customHeight="1" thickBot="1" x14ac:dyDescent="0.4">
      <c r="A724" s="189"/>
      <c r="B724" s="516" t="s">
        <v>189</v>
      </c>
      <c r="C724" s="517"/>
      <c r="D724" s="517"/>
      <c r="E724" s="517"/>
      <c r="F724" s="517"/>
      <c r="G724" s="517"/>
      <c r="H724" s="517"/>
      <c r="I724" s="517"/>
      <c r="J724" s="518"/>
      <c r="K724" s="213">
        <f>SUM(K723:K723)</f>
        <v>4</v>
      </c>
    </row>
    <row r="725" spans="1:11" s="194" customFormat="1" ht="24.95" customHeight="1" x14ac:dyDescent="0.35">
      <c r="A725" s="189"/>
      <c r="B725" s="197">
        <v>3</v>
      </c>
      <c r="C725" s="192" t="e">
        <f>GEDUNG!#REF!</f>
        <v>#REF!</v>
      </c>
      <c r="D725" s="192"/>
      <c r="E725" s="193"/>
      <c r="F725" s="187"/>
      <c r="G725" s="188"/>
      <c r="H725" s="188"/>
      <c r="I725" s="188"/>
      <c r="J725" s="226"/>
      <c r="K725" s="188"/>
    </row>
    <row r="726" spans="1:11" s="194" customFormat="1" ht="24.95" customHeight="1" x14ac:dyDescent="0.35">
      <c r="A726" s="189"/>
      <c r="B726" s="197"/>
      <c r="C726" s="192"/>
      <c r="D726" s="192"/>
      <c r="E726" s="193"/>
      <c r="F726" s="187"/>
      <c r="G726" s="188"/>
      <c r="H726" s="188"/>
      <c r="I726" s="188">
        <v>1</v>
      </c>
      <c r="J726" s="226" t="s">
        <v>52</v>
      </c>
      <c r="K726" s="188">
        <f>I726</f>
        <v>1</v>
      </c>
    </row>
    <row r="727" spans="1:11" s="194" customFormat="1" ht="24.95" customHeight="1" thickBot="1" x14ac:dyDescent="0.4">
      <c r="A727" s="189"/>
      <c r="B727" s="516" t="s">
        <v>189</v>
      </c>
      <c r="C727" s="517"/>
      <c r="D727" s="517"/>
      <c r="E727" s="517"/>
      <c r="F727" s="517"/>
      <c r="G727" s="517"/>
      <c r="H727" s="517"/>
      <c r="I727" s="517"/>
      <c r="J727" s="518"/>
      <c r="K727" s="213">
        <f>SUM(K726:K726)</f>
        <v>1</v>
      </c>
    </row>
    <row r="728" spans="1:11" s="194" customFormat="1" ht="24.95" customHeight="1" x14ac:dyDescent="0.35">
      <c r="A728" s="189"/>
      <c r="B728" s="197">
        <v>4</v>
      </c>
      <c r="C728" s="192" t="e">
        <f>GEDUNG!#REF!</f>
        <v>#REF!</v>
      </c>
      <c r="D728" s="192"/>
      <c r="E728" s="193"/>
      <c r="F728" s="187"/>
      <c r="G728" s="188"/>
      <c r="H728" s="188"/>
      <c r="I728" s="188"/>
      <c r="J728" s="226"/>
      <c r="K728" s="188"/>
    </row>
    <row r="729" spans="1:11" s="194" customFormat="1" ht="24.95" customHeight="1" x14ac:dyDescent="0.35">
      <c r="A729" s="189"/>
      <c r="B729" s="197"/>
      <c r="C729" s="192"/>
      <c r="D729" s="192"/>
      <c r="E729" s="193"/>
      <c r="F729" s="187"/>
      <c r="G729" s="188"/>
      <c r="H729" s="188"/>
      <c r="I729" s="188">
        <v>1</v>
      </c>
      <c r="J729" s="226" t="s">
        <v>52</v>
      </c>
      <c r="K729" s="188">
        <f>I729</f>
        <v>1</v>
      </c>
    </row>
    <row r="730" spans="1:11" s="194" customFormat="1" ht="24.95" customHeight="1" thickBot="1" x14ac:dyDescent="0.4">
      <c r="A730" s="189"/>
      <c r="B730" s="516" t="s">
        <v>189</v>
      </c>
      <c r="C730" s="517"/>
      <c r="D730" s="517"/>
      <c r="E730" s="517"/>
      <c r="F730" s="517"/>
      <c r="G730" s="517"/>
      <c r="H730" s="517"/>
      <c r="I730" s="517"/>
      <c r="J730" s="518"/>
      <c r="K730" s="213">
        <f>SUM(K729)</f>
        <v>1</v>
      </c>
    </row>
    <row r="731" spans="1:11" s="194" customFormat="1" ht="24.95" customHeight="1" x14ac:dyDescent="0.35">
      <c r="A731" s="189"/>
      <c r="B731" s="197">
        <v>5</v>
      </c>
      <c r="C731" s="192" t="e">
        <f>GEDUNG!#REF!</f>
        <v>#REF!</v>
      </c>
      <c r="D731" s="192"/>
      <c r="E731" s="193"/>
      <c r="F731" s="187"/>
      <c r="G731" s="188"/>
      <c r="H731" s="188"/>
      <c r="I731" s="188"/>
      <c r="J731" s="226"/>
      <c r="K731" s="188"/>
    </row>
    <row r="732" spans="1:11" s="194" customFormat="1" ht="24.95" customHeight="1" x14ac:dyDescent="0.35">
      <c r="A732" s="189"/>
      <c r="B732" s="197"/>
      <c r="C732" s="192"/>
      <c r="D732" s="192"/>
      <c r="E732" s="193"/>
      <c r="F732" s="187"/>
      <c r="G732" s="188"/>
      <c r="H732" s="188">
        <v>4</v>
      </c>
      <c r="I732" s="188">
        <v>1</v>
      </c>
      <c r="J732" s="226" t="s">
        <v>19</v>
      </c>
      <c r="K732" s="188">
        <f>H732*I732</f>
        <v>4</v>
      </c>
    </row>
    <row r="733" spans="1:11" s="194" customFormat="1" ht="24.95" customHeight="1" thickBot="1" x14ac:dyDescent="0.4">
      <c r="A733" s="189"/>
      <c r="B733" s="516" t="s">
        <v>189</v>
      </c>
      <c r="C733" s="517"/>
      <c r="D733" s="517"/>
      <c r="E733" s="517"/>
      <c r="F733" s="517"/>
      <c r="G733" s="517"/>
      <c r="H733" s="517"/>
      <c r="I733" s="517"/>
      <c r="J733" s="518"/>
      <c r="K733" s="213">
        <f>SUM(K732:K732)</f>
        <v>4</v>
      </c>
    </row>
    <row r="734" spans="1:11" s="194" customFormat="1" ht="24.95" customHeight="1" x14ac:dyDescent="0.35">
      <c r="A734" s="189"/>
      <c r="B734" s="197">
        <v>6</v>
      </c>
      <c r="C734" s="192" t="e">
        <f>GEDUNG!#REF!</f>
        <v>#REF!</v>
      </c>
      <c r="D734" s="192"/>
      <c r="E734" s="193"/>
      <c r="F734" s="187"/>
      <c r="G734" s="188"/>
      <c r="H734" s="188"/>
      <c r="I734" s="188"/>
      <c r="J734" s="226"/>
      <c r="K734" s="188"/>
    </row>
    <row r="735" spans="1:11" s="194" customFormat="1" ht="24.95" customHeight="1" x14ac:dyDescent="0.35">
      <c r="A735" s="189"/>
      <c r="B735" s="197"/>
      <c r="C735" s="192"/>
      <c r="D735" s="192"/>
      <c r="E735" s="193"/>
      <c r="F735" s="187"/>
      <c r="G735" s="188"/>
      <c r="H735" s="188">
        <v>30</v>
      </c>
      <c r="I735" s="188">
        <v>1</v>
      </c>
      <c r="J735" s="226" t="s">
        <v>19</v>
      </c>
      <c r="K735" s="188">
        <f>H735*I735</f>
        <v>30</v>
      </c>
    </row>
    <row r="736" spans="1:11" s="194" customFormat="1" ht="24.95" customHeight="1" thickBot="1" x14ac:dyDescent="0.4">
      <c r="A736" s="189"/>
      <c r="B736" s="516" t="s">
        <v>189</v>
      </c>
      <c r="C736" s="517"/>
      <c r="D736" s="517"/>
      <c r="E736" s="517"/>
      <c r="F736" s="517"/>
      <c r="G736" s="517"/>
      <c r="H736" s="517"/>
      <c r="I736" s="517"/>
      <c r="J736" s="518"/>
      <c r="K736" s="213">
        <f>SUM(K735:K735)</f>
        <v>30</v>
      </c>
    </row>
    <row r="737" spans="1:12" s="194" customFormat="1" ht="24.95" customHeight="1" x14ac:dyDescent="0.35">
      <c r="A737" s="189"/>
      <c r="B737" s="197">
        <v>7</v>
      </c>
      <c r="C737" s="192" t="e">
        <f>GEDUNG!#REF!</f>
        <v>#REF!</v>
      </c>
      <c r="D737" s="192"/>
      <c r="E737" s="193"/>
      <c r="F737" s="187"/>
      <c r="G737" s="188"/>
      <c r="H737" s="188"/>
      <c r="I737" s="188"/>
      <c r="J737" s="226"/>
      <c r="K737" s="188"/>
    </row>
    <row r="738" spans="1:12" s="194" customFormat="1" ht="24.95" customHeight="1" x14ac:dyDescent="0.35">
      <c r="A738" s="189"/>
      <c r="B738" s="197"/>
      <c r="C738" s="192"/>
      <c r="D738" s="192"/>
      <c r="E738" s="193"/>
      <c r="F738" s="187"/>
      <c r="G738" s="188"/>
      <c r="H738" s="188">
        <v>16</v>
      </c>
      <c r="I738" s="188">
        <v>1</v>
      </c>
      <c r="J738" s="226" t="s">
        <v>19</v>
      </c>
      <c r="K738" s="188">
        <f>H738*I738</f>
        <v>16</v>
      </c>
    </row>
    <row r="739" spans="1:12" s="194" customFormat="1" ht="24.95" customHeight="1" thickBot="1" x14ac:dyDescent="0.4">
      <c r="A739" s="189"/>
      <c r="B739" s="516" t="s">
        <v>189</v>
      </c>
      <c r="C739" s="517"/>
      <c r="D739" s="517"/>
      <c r="E739" s="517"/>
      <c r="F739" s="517"/>
      <c r="G739" s="517"/>
      <c r="H739" s="517"/>
      <c r="I739" s="517"/>
      <c r="J739" s="518"/>
      <c r="K739" s="213">
        <f>SUM(K738:K738)</f>
        <v>16</v>
      </c>
    </row>
    <row r="740" spans="1:12" s="194" customFormat="1" ht="24.95" customHeight="1" x14ac:dyDescent="0.35">
      <c r="A740" s="189"/>
      <c r="B740" s="197">
        <v>8</v>
      </c>
      <c r="C740" s="192" t="e">
        <f>GEDUNG!#REF!</f>
        <v>#REF!</v>
      </c>
      <c r="D740" s="192"/>
      <c r="E740" s="193"/>
      <c r="F740" s="187"/>
      <c r="G740" s="188"/>
      <c r="H740" s="188"/>
      <c r="I740" s="188"/>
      <c r="J740" s="226"/>
      <c r="K740" s="188"/>
    </row>
    <row r="741" spans="1:12" s="194" customFormat="1" ht="24.95" customHeight="1" x14ac:dyDescent="0.35">
      <c r="A741" s="189"/>
      <c r="B741" s="197"/>
      <c r="C741" s="192"/>
      <c r="D741" s="192"/>
      <c r="E741" s="193"/>
      <c r="F741" s="187"/>
      <c r="G741" s="188"/>
      <c r="H741" s="188">
        <v>24</v>
      </c>
      <c r="I741" s="188">
        <v>1</v>
      </c>
      <c r="J741" s="226" t="s">
        <v>52</v>
      </c>
      <c r="K741" s="188">
        <f>H741*I741</f>
        <v>24</v>
      </c>
    </row>
    <row r="742" spans="1:12" s="194" customFormat="1" ht="24.95" customHeight="1" thickBot="1" x14ac:dyDescent="0.4">
      <c r="A742" s="189"/>
      <c r="B742" s="516" t="s">
        <v>189</v>
      </c>
      <c r="C742" s="517"/>
      <c r="D742" s="517"/>
      <c r="E742" s="517"/>
      <c r="F742" s="517"/>
      <c r="G742" s="517"/>
      <c r="H742" s="517"/>
      <c r="I742" s="517"/>
      <c r="J742" s="518"/>
      <c r="K742" s="213">
        <f>SUM(K741:K741)</f>
        <v>24</v>
      </c>
    </row>
    <row r="743" spans="1:12" s="194" customFormat="1" ht="24.95" customHeight="1" x14ac:dyDescent="0.35">
      <c r="A743" s="189"/>
      <c r="B743" s="197">
        <v>9</v>
      </c>
      <c r="C743" s="192">
        <f>GEDUNG!D242</f>
        <v>0</v>
      </c>
      <c r="D743" s="192"/>
      <c r="E743" s="193"/>
      <c r="F743" s="187"/>
      <c r="G743" s="188"/>
      <c r="H743" s="188"/>
      <c r="I743" s="188"/>
      <c r="J743" s="226"/>
      <c r="K743" s="188"/>
    </row>
    <row r="744" spans="1:12" s="194" customFormat="1" ht="24.95" customHeight="1" x14ac:dyDescent="0.35">
      <c r="A744" s="189"/>
      <c r="B744" s="197"/>
      <c r="C744" s="192"/>
      <c r="D744" s="192"/>
      <c r="E744" s="193"/>
      <c r="F744" s="187"/>
      <c r="G744" s="188"/>
      <c r="H744" s="188"/>
      <c r="I744" s="188">
        <v>4</v>
      </c>
      <c r="J744" s="226" t="s">
        <v>52</v>
      </c>
      <c r="K744" s="188">
        <f>I744</f>
        <v>4</v>
      </c>
    </row>
    <row r="745" spans="1:12" s="194" customFormat="1" ht="24.95" customHeight="1" thickBot="1" x14ac:dyDescent="0.4">
      <c r="A745" s="189"/>
      <c r="B745" s="516" t="s">
        <v>189</v>
      </c>
      <c r="C745" s="517"/>
      <c r="D745" s="517"/>
      <c r="E745" s="517"/>
      <c r="F745" s="517"/>
      <c r="G745" s="517"/>
      <c r="H745" s="517"/>
      <c r="I745" s="517"/>
      <c r="J745" s="518"/>
      <c r="K745" s="213">
        <f>SUM(K744:K744)</f>
        <v>4</v>
      </c>
    </row>
    <row r="746" spans="1:12" s="194" customFormat="1" ht="24.95" customHeight="1" x14ac:dyDescent="0.35">
      <c r="A746" s="204" t="s">
        <v>173</v>
      </c>
      <c r="B746" s="201" t="str">
        <f>GEDUNG!D244</f>
        <v>PEKERJAAN INSTALASI LISTRIK DAN CAHAYA</v>
      </c>
      <c r="C746" s="192"/>
      <c r="D746" s="192"/>
      <c r="E746" s="193"/>
      <c r="F746" s="187"/>
      <c r="G746" s="188"/>
      <c r="H746" s="188"/>
      <c r="I746" s="188"/>
      <c r="J746" s="226"/>
      <c r="K746" s="188"/>
    </row>
    <row r="747" spans="1:12" s="194" customFormat="1" ht="24.95" customHeight="1" x14ac:dyDescent="0.35">
      <c r="A747" s="204"/>
      <c r="B747" s="201"/>
      <c r="C747" s="192"/>
      <c r="D747" s="192"/>
      <c r="E747" s="193"/>
      <c r="F747" s="187"/>
      <c r="G747" s="188"/>
      <c r="H747" s="188"/>
      <c r="I747" s="188"/>
      <c r="J747" s="226"/>
      <c r="K747" s="188"/>
    </row>
    <row r="748" spans="1:12" s="194" customFormat="1" ht="24.95" customHeight="1" x14ac:dyDescent="0.35">
      <c r="A748" s="204" t="s">
        <v>173</v>
      </c>
      <c r="B748" s="201" t="e">
        <f>GEDUNG!#REF!</f>
        <v>#REF!</v>
      </c>
      <c r="C748" s="192"/>
      <c r="D748" s="192"/>
      <c r="E748" s="193"/>
      <c r="F748" s="187"/>
      <c r="G748" s="188"/>
      <c r="H748" s="188"/>
      <c r="I748" s="188"/>
      <c r="J748" s="226"/>
      <c r="K748" s="188"/>
    </row>
    <row r="749" spans="1:12" s="194" customFormat="1" ht="24.95" customHeight="1" x14ac:dyDescent="0.35">
      <c r="A749" s="189"/>
      <c r="B749" s="197">
        <v>1</v>
      </c>
      <c r="C749" s="192" t="e">
        <f>GEDUNG!#REF!</f>
        <v>#REF!</v>
      </c>
      <c r="D749" s="192"/>
      <c r="E749" s="193"/>
      <c r="F749" s="187"/>
      <c r="G749" s="188"/>
      <c r="H749" s="188"/>
      <c r="I749" s="188"/>
      <c r="J749" s="226"/>
      <c r="K749" s="188"/>
    </row>
    <row r="750" spans="1:12" s="194" customFormat="1" ht="24.95" customHeight="1" x14ac:dyDescent="0.35">
      <c r="A750" s="189"/>
      <c r="B750" s="197"/>
      <c r="C750" s="192"/>
      <c r="D750" s="192"/>
      <c r="E750" s="193"/>
      <c r="F750" s="187">
        <v>2</v>
      </c>
      <c r="G750" s="188">
        <v>24</v>
      </c>
      <c r="H750" s="188">
        <v>12.7</v>
      </c>
      <c r="I750" s="188">
        <v>2</v>
      </c>
      <c r="J750" s="226" t="s">
        <v>26</v>
      </c>
      <c r="K750" s="188">
        <f>(((F750+G750)/(2))*H750*I750)-L750</f>
        <v>320.63549999999998</v>
      </c>
      <c r="L750" s="194">
        <f>((0.5*4.07*4.7))</f>
        <v>9.5645000000000007</v>
      </c>
    </row>
    <row r="751" spans="1:12" s="194" customFormat="1" ht="24.95" customHeight="1" x14ac:dyDescent="0.35">
      <c r="A751" s="189"/>
      <c r="B751" s="197"/>
      <c r="C751" s="192"/>
      <c r="D751" s="192"/>
      <c r="E751" s="193"/>
      <c r="F751" s="187">
        <v>0.5</v>
      </c>
      <c r="G751" s="188">
        <v>22</v>
      </c>
      <c r="H751" s="188">
        <v>12.7</v>
      </c>
      <c r="I751" s="188">
        <v>2</v>
      </c>
      <c r="J751" s="226" t="s">
        <v>26</v>
      </c>
      <c r="K751" s="188">
        <f>(((F751+G751)/(2))*H751*I751)-L751</f>
        <v>280.10034999999999</v>
      </c>
      <c r="L751" s="194">
        <f>((0.5*3.13*3.61))</f>
        <v>5.6496499999999994</v>
      </c>
    </row>
    <row r="752" spans="1:12" s="194" customFormat="1" ht="24.95" customHeight="1" x14ac:dyDescent="0.35">
      <c r="A752" s="189"/>
      <c r="B752" s="275"/>
      <c r="C752" s="198"/>
      <c r="D752" s="198"/>
      <c r="E752" s="193"/>
      <c r="F752" s="187">
        <v>0.5</v>
      </c>
      <c r="G752" s="188">
        <v>4.5</v>
      </c>
      <c r="H752" s="188">
        <v>2.62</v>
      </c>
      <c r="I752" s="188">
        <v>4</v>
      </c>
      <c r="J752" s="226" t="s">
        <v>26</v>
      </c>
      <c r="K752" s="188">
        <f>(((F752+G752)/(2))*H752*I752)</f>
        <v>26.200000000000003</v>
      </c>
    </row>
    <row r="753" spans="1:12" s="194" customFormat="1" ht="24.95" customHeight="1" thickBot="1" x14ac:dyDescent="0.4">
      <c r="A753" s="189"/>
      <c r="B753" s="516" t="s">
        <v>189</v>
      </c>
      <c r="C753" s="517"/>
      <c r="D753" s="517"/>
      <c r="E753" s="517"/>
      <c r="F753" s="517"/>
      <c r="G753" s="517"/>
      <c r="H753" s="517"/>
      <c r="I753" s="517"/>
      <c r="J753" s="518"/>
      <c r="K753" s="213">
        <f>SUM(K750:K752)</f>
        <v>626.93585000000007</v>
      </c>
    </row>
    <row r="754" spans="1:12" s="194" customFormat="1" ht="24.95" customHeight="1" x14ac:dyDescent="0.35">
      <c r="A754" s="189"/>
      <c r="B754" s="197">
        <v>2</v>
      </c>
      <c r="C754" s="192" t="e">
        <f>GEDUNG!#REF!</f>
        <v>#REF!</v>
      </c>
      <c r="D754" s="192"/>
      <c r="E754" s="193"/>
      <c r="F754" s="187"/>
      <c r="G754" s="188"/>
      <c r="H754" s="188"/>
      <c r="I754" s="188"/>
      <c r="J754" s="226"/>
      <c r="K754" s="188"/>
    </row>
    <row r="755" spans="1:12" s="194" customFormat="1" ht="24.95" customHeight="1" x14ac:dyDescent="0.35">
      <c r="A755" s="189"/>
      <c r="B755" s="197"/>
      <c r="C755" s="192"/>
      <c r="D755" s="192"/>
      <c r="E755" s="193"/>
      <c r="F755" s="187">
        <v>2</v>
      </c>
      <c r="G755" s="188">
        <v>24</v>
      </c>
      <c r="H755" s="188">
        <v>12.7</v>
      </c>
      <c r="I755" s="188">
        <v>2</v>
      </c>
      <c r="J755" s="226" t="s">
        <v>26</v>
      </c>
      <c r="K755" s="188">
        <f>(((F755+G755)/(2))*H755*I755)-L755</f>
        <v>320.63549999999998</v>
      </c>
      <c r="L755" s="194">
        <f>((0.5*4.07*4.7))</f>
        <v>9.5645000000000007</v>
      </c>
    </row>
    <row r="756" spans="1:12" s="194" customFormat="1" ht="24.95" customHeight="1" x14ac:dyDescent="0.35">
      <c r="A756" s="189"/>
      <c r="B756" s="197"/>
      <c r="C756" s="192"/>
      <c r="D756" s="192"/>
      <c r="E756" s="193"/>
      <c r="F756" s="187">
        <v>0.5</v>
      </c>
      <c r="G756" s="188">
        <v>22</v>
      </c>
      <c r="H756" s="188">
        <v>12.7</v>
      </c>
      <c r="I756" s="188">
        <v>2</v>
      </c>
      <c r="J756" s="226" t="s">
        <v>26</v>
      </c>
      <c r="K756" s="188">
        <f>(((F756+G756)/(2))*H756*I756)-L756</f>
        <v>280.10034999999999</v>
      </c>
      <c r="L756" s="194">
        <f>((0.5*3.13*3.61))</f>
        <v>5.6496499999999994</v>
      </c>
    </row>
    <row r="757" spans="1:12" s="194" customFormat="1" ht="24.95" customHeight="1" x14ac:dyDescent="0.35">
      <c r="A757" s="189"/>
      <c r="B757" s="275"/>
      <c r="C757" s="198"/>
      <c r="D757" s="198"/>
      <c r="E757" s="193"/>
      <c r="F757" s="187">
        <v>0.5</v>
      </c>
      <c r="G757" s="188">
        <v>4.5</v>
      </c>
      <c r="H757" s="188">
        <v>2.62</v>
      </c>
      <c r="I757" s="188">
        <v>4</v>
      </c>
      <c r="J757" s="226" t="s">
        <v>26</v>
      </c>
      <c r="K757" s="188">
        <f>(((F757+G757)/(2))*H757*I757)</f>
        <v>26.200000000000003</v>
      </c>
    </row>
    <row r="758" spans="1:12" s="194" customFormat="1" ht="24.95" customHeight="1" thickBot="1" x14ac:dyDescent="0.4">
      <c r="A758" s="189"/>
      <c r="B758" s="516" t="s">
        <v>189</v>
      </c>
      <c r="C758" s="517"/>
      <c r="D758" s="517"/>
      <c r="E758" s="517"/>
      <c r="F758" s="517"/>
      <c r="G758" s="517"/>
      <c r="H758" s="517"/>
      <c r="I758" s="517"/>
      <c r="J758" s="518"/>
      <c r="K758" s="213">
        <f>SUM(K755:K757)</f>
        <v>626.93585000000007</v>
      </c>
    </row>
    <row r="759" spans="1:12" s="194" customFormat="1" ht="24.95" customHeight="1" x14ac:dyDescent="0.35">
      <c r="A759" s="189"/>
      <c r="B759" s="197">
        <v>3</v>
      </c>
      <c r="C759" s="192" t="e">
        <f>GEDUNG!#REF!</f>
        <v>#REF!</v>
      </c>
      <c r="D759" s="192"/>
      <c r="E759" s="193"/>
      <c r="F759" s="187"/>
      <c r="G759" s="188"/>
      <c r="H759" s="188"/>
      <c r="I759" s="188"/>
      <c r="J759" s="226"/>
      <c r="K759" s="188"/>
    </row>
    <row r="760" spans="1:12" s="194" customFormat="1" ht="24.95" customHeight="1" x14ac:dyDescent="0.35">
      <c r="A760" s="189"/>
      <c r="B760" s="197"/>
      <c r="C760" s="192"/>
      <c r="D760" s="192"/>
      <c r="E760" s="193"/>
      <c r="F760" s="187"/>
      <c r="G760" s="188">
        <v>16.809999999999999</v>
      </c>
      <c r="H760" s="188"/>
      <c r="I760" s="188">
        <v>3</v>
      </c>
      <c r="J760" s="226" t="s">
        <v>19</v>
      </c>
      <c r="K760" s="188">
        <f>G760*I760</f>
        <v>50.429999999999993</v>
      </c>
    </row>
    <row r="761" spans="1:12" s="194" customFormat="1" ht="24.95" customHeight="1" x14ac:dyDescent="0.35">
      <c r="A761" s="189"/>
      <c r="B761" s="197"/>
      <c r="C761" s="192"/>
      <c r="D761" s="192"/>
      <c r="E761" s="193"/>
      <c r="F761" s="187"/>
      <c r="G761" s="188">
        <v>2</v>
      </c>
      <c r="H761" s="188"/>
      <c r="I761" s="188">
        <v>1</v>
      </c>
      <c r="J761" s="226" t="s">
        <v>19</v>
      </c>
      <c r="K761" s="188">
        <f>G761*I761</f>
        <v>2</v>
      </c>
    </row>
    <row r="762" spans="1:12" s="194" customFormat="1" ht="24.95" customHeight="1" x14ac:dyDescent="0.35">
      <c r="A762" s="189"/>
      <c r="B762" s="275"/>
      <c r="C762" s="198"/>
      <c r="D762" s="198"/>
      <c r="E762" s="193"/>
      <c r="F762" s="187"/>
      <c r="G762" s="188">
        <v>11.96</v>
      </c>
      <c r="H762" s="188"/>
      <c r="I762" s="188">
        <v>1</v>
      </c>
      <c r="J762" s="226" t="s">
        <v>19</v>
      </c>
      <c r="K762" s="188">
        <f>G762*I762</f>
        <v>11.96</v>
      </c>
    </row>
    <row r="763" spans="1:12" s="194" customFormat="1" ht="24.95" customHeight="1" x14ac:dyDescent="0.35">
      <c r="A763" s="189"/>
      <c r="B763" s="275"/>
      <c r="C763" s="198"/>
      <c r="D763" s="198"/>
      <c r="E763" s="193"/>
      <c r="F763" s="187"/>
      <c r="G763" s="188">
        <v>3.34</v>
      </c>
      <c r="H763" s="188"/>
      <c r="I763" s="188">
        <v>4</v>
      </c>
      <c r="J763" s="226" t="s">
        <v>26</v>
      </c>
      <c r="K763" s="188">
        <f>G763*I763</f>
        <v>13.36</v>
      </c>
    </row>
    <row r="764" spans="1:12" s="194" customFormat="1" ht="24.95" customHeight="1" thickBot="1" x14ac:dyDescent="0.4">
      <c r="A764" s="189"/>
      <c r="B764" s="516" t="s">
        <v>189</v>
      </c>
      <c r="C764" s="517"/>
      <c r="D764" s="517"/>
      <c r="E764" s="517"/>
      <c r="F764" s="517"/>
      <c r="G764" s="517"/>
      <c r="H764" s="517"/>
      <c r="I764" s="517"/>
      <c r="J764" s="518"/>
      <c r="K764" s="213">
        <f>SUM(K760:K763)</f>
        <v>77.749999999999986</v>
      </c>
    </row>
    <row r="765" spans="1:12" s="194" customFormat="1" ht="24.95" customHeight="1" x14ac:dyDescent="0.35">
      <c r="A765" s="189"/>
      <c r="B765" s="197">
        <v>4</v>
      </c>
      <c r="C765" s="192" t="e">
        <f>GEDUNG!#REF!</f>
        <v>#REF!</v>
      </c>
      <c r="D765" s="192"/>
      <c r="E765" s="193"/>
      <c r="F765" s="187"/>
      <c r="G765" s="188"/>
      <c r="H765" s="188"/>
      <c r="I765" s="188"/>
      <c r="J765" s="226"/>
      <c r="K765" s="188"/>
    </row>
    <row r="766" spans="1:12" s="194" customFormat="1" ht="24.95" customHeight="1" x14ac:dyDescent="0.35">
      <c r="A766" s="189"/>
      <c r="B766" s="197"/>
      <c r="C766" s="192"/>
      <c r="D766" s="192"/>
      <c r="E766" s="193"/>
      <c r="F766" s="187"/>
      <c r="G766" s="188">
        <v>22</v>
      </c>
      <c r="H766" s="188"/>
      <c r="I766" s="188">
        <v>1</v>
      </c>
      <c r="J766" s="226" t="s">
        <v>19</v>
      </c>
      <c r="K766" s="188">
        <f>G766*I766</f>
        <v>22</v>
      </c>
    </row>
    <row r="767" spans="1:12" s="194" customFormat="1" ht="24.95" customHeight="1" x14ac:dyDescent="0.35">
      <c r="A767" s="189"/>
      <c r="B767" s="197"/>
      <c r="C767" s="192"/>
      <c r="D767" s="192"/>
      <c r="E767" s="193"/>
      <c r="F767" s="187"/>
      <c r="G767" s="188">
        <v>24</v>
      </c>
      <c r="H767" s="188"/>
      <c r="I767" s="188">
        <v>1</v>
      </c>
      <c r="J767" s="226" t="s">
        <v>19</v>
      </c>
      <c r="K767" s="188">
        <f>G767*I767</f>
        <v>24</v>
      </c>
    </row>
    <row r="768" spans="1:12" s="194" customFormat="1" ht="24.95" customHeight="1" x14ac:dyDescent="0.35">
      <c r="A768" s="189"/>
      <c r="B768" s="275"/>
      <c r="C768" s="198"/>
      <c r="D768" s="198"/>
      <c r="E768" s="193"/>
      <c r="F768" s="187"/>
      <c r="G768" s="188">
        <v>18.899999999999999</v>
      </c>
      <c r="H768" s="188"/>
      <c r="I768" s="188">
        <v>1</v>
      </c>
      <c r="J768" s="226" t="s">
        <v>19</v>
      </c>
      <c r="K768" s="188">
        <f>G768*I768</f>
        <v>18.899999999999999</v>
      </c>
    </row>
    <row r="769" spans="1:12" s="194" customFormat="1" ht="24.95" customHeight="1" x14ac:dyDescent="0.35">
      <c r="A769" s="189"/>
      <c r="B769" s="275"/>
      <c r="C769" s="198"/>
      <c r="D769" s="198"/>
      <c r="E769" s="193"/>
      <c r="F769" s="187"/>
      <c r="G769" s="188">
        <v>19.899999999999999</v>
      </c>
      <c r="H769" s="188"/>
      <c r="I769" s="188">
        <v>1</v>
      </c>
      <c r="J769" s="226" t="s">
        <v>26</v>
      </c>
      <c r="K769" s="188">
        <f>G769*I769</f>
        <v>19.899999999999999</v>
      </c>
    </row>
    <row r="770" spans="1:12" s="194" customFormat="1" ht="24.95" customHeight="1" thickBot="1" x14ac:dyDescent="0.4">
      <c r="A770" s="189"/>
      <c r="B770" s="516" t="s">
        <v>189</v>
      </c>
      <c r="C770" s="517"/>
      <c r="D770" s="517"/>
      <c r="E770" s="517"/>
      <c r="F770" s="517"/>
      <c r="G770" s="517"/>
      <c r="H770" s="517"/>
      <c r="I770" s="517"/>
      <c r="J770" s="518"/>
      <c r="K770" s="213">
        <f>SUM(K766:K769)</f>
        <v>84.800000000000011</v>
      </c>
    </row>
    <row r="771" spans="1:12" s="194" customFormat="1" ht="24.95" customHeight="1" x14ac:dyDescent="0.35">
      <c r="A771" s="204"/>
      <c r="B771" s="201"/>
      <c r="C771" s="192"/>
      <c r="D771" s="192"/>
      <c r="E771" s="193"/>
      <c r="F771" s="187"/>
      <c r="G771" s="188"/>
      <c r="H771" s="188"/>
      <c r="I771" s="188"/>
      <c r="J771" s="226"/>
      <c r="K771" s="188"/>
    </row>
    <row r="772" spans="1:12" s="194" customFormat="1" ht="24.95" customHeight="1" x14ac:dyDescent="0.35">
      <c r="A772" s="203" t="s">
        <v>174</v>
      </c>
      <c r="B772" s="201" t="str">
        <f>GEDUNG!D310</f>
        <v>PEKERJAAN PENGECATAN DAN FINISHING</v>
      </c>
      <c r="C772" s="192"/>
      <c r="D772" s="192"/>
      <c r="E772" s="193"/>
      <c r="F772" s="187"/>
      <c r="G772" s="188"/>
      <c r="H772" s="188"/>
      <c r="I772" s="188"/>
      <c r="J772" s="226"/>
      <c r="K772" s="188"/>
    </row>
    <row r="773" spans="1:12" s="194" customFormat="1" ht="24.95" customHeight="1" x14ac:dyDescent="0.35">
      <c r="A773" s="189"/>
      <c r="B773" s="197">
        <v>1</v>
      </c>
      <c r="C773" s="192" t="str">
        <f>GEDUNG!D312</f>
        <v>Pek. Cat Dinding dan Kolom , Dulux Water shield Daybreak 40544M, Exterior</v>
      </c>
      <c r="D773" s="192"/>
      <c r="E773" s="193"/>
      <c r="F773" s="187"/>
      <c r="G773" s="188"/>
      <c r="H773" s="188"/>
      <c r="I773" s="188"/>
      <c r="J773" s="226"/>
      <c r="K773" s="188"/>
    </row>
    <row r="774" spans="1:12" s="194" customFormat="1" ht="27.75" customHeight="1" x14ac:dyDescent="0.35">
      <c r="A774" s="189"/>
      <c r="B774" s="190"/>
      <c r="C774" s="192"/>
      <c r="D774" s="192"/>
      <c r="E774" s="250" t="s">
        <v>227</v>
      </c>
      <c r="F774" s="187"/>
      <c r="G774" s="188">
        <v>5.4625000000000004</v>
      </c>
      <c r="H774" s="188"/>
      <c r="I774" s="188">
        <v>2</v>
      </c>
      <c r="J774" s="226" t="s">
        <v>26</v>
      </c>
      <c r="K774" s="188">
        <f>G774*I774</f>
        <v>10.925000000000001</v>
      </c>
    </row>
    <row r="775" spans="1:12" s="237" customFormat="1" ht="27.75" customHeight="1" x14ac:dyDescent="0.35">
      <c r="A775" s="235"/>
      <c r="B775" s="238"/>
      <c r="C775" s="236"/>
      <c r="D775" s="236"/>
      <c r="E775" s="250" t="s">
        <v>228</v>
      </c>
      <c r="F775" s="187"/>
      <c r="G775" s="188">
        <v>4.375</v>
      </c>
      <c r="H775" s="188"/>
      <c r="I775" s="188">
        <v>1</v>
      </c>
      <c r="J775" s="226" t="s">
        <v>26</v>
      </c>
      <c r="K775" s="188">
        <f>G775*I775</f>
        <v>4.375</v>
      </c>
      <c r="L775" s="194"/>
    </row>
    <row r="776" spans="1:12" s="194" customFormat="1" ht="27.75" customHeight="1" x14ac:dyDescent="0.35">
      <c r="A776" s="189"/>
      <c r="B776" s="190"/>
      <c r="C776" s="192"/>
      <c r="D776" s="192"/>
      <c r="E776" s="250" t="s">
        <v>229</v>
      </c>
      <c r="F776" s="187"/>
      <c r="G776" s="188">
        <v>10.7925</v>
      </c>
      <c r="H776" s="188"/>
      <c r="I776" s="188">
        <v>1</v>
      </c>
      <c r="J776" s="226" t="s">
        <v>26</v>
      </c>
      <c r="K776" s="188">
        <f>G776*I776</f>
        <v>10.7925</v>
      </c>
    </row>
    <row r="777" spans="1:12" s="237" customFormat="1" ht="27.75" customHeight="1" x14ac:dyDescent="0.35">
      <c r="A777" s="235"/>
      <c r="B777" s="238"/>
      <c r="C777" s="236"/>
      <c r="D777" s="236"/>
      <c r="E777" s="250" t="s">
        <v>230</v>
      </c>
      <c r="F777" s="187"/>
      <c r="G777" s="188">
        <v>46.782699999999998</v>
      </c>
      <c r="H777" s="188"/>
      <c r="I777" s="188">
        <v>1</v>
      </c>
      <c r="J777" s="226" t="s">
        <v>26</v>
      </c>
      <c r="K777" s="249">
        <f>G777*I777</f>
        <v>46.782699999999998</v>
      </c>
      <c r="L777" s="194"/>
    </row>
    <row r="778" spans="1:12" s="237" customFormat="1" ht="27.75" customHeight="1" x14ac:dyDescent="0.35">
      <c r="A778" s="235"/>
      <c r="B778" s="238"/>
      <c r="C778" s="236"/>
      <c r="D778" s="236"/>
      <c r="E778" s="250" t="s">
        <v>231</v>
      </c>
      <c r="F778" s="187"/>
      <c r="G778" s="188">
        <v>2.67</v>
      </c>
      <c r="H778" s="188">
        <v>2.09</v>
      </c>
      <c r="I778" s="188">
        <v>2</v>
      </c>
      <c r="J778" s="226" t="s">
        <v>26</v>
      </c>
      <c r="K778" s="188">
        <f>G778*H778*I778</f>
        <v>11.160599999999999</v>
      </c>
      <c r="L778" s="194"/>
    </row>
    <row r="779" spans="1:12" s="237" customFormat="1" ht="27.75" customHeight="1" x14ac:dyDescent="0.35">
      <c r="A779" s="235"/>
      <c r="B779" s="238"/>
      <c r="C779" s="236"/>
      <c r="D779" s="236"/>
      <c r="E779" s="250" t="s">
        <v>232</v>
      </c>
      <c r="F779" s="187"/>
      <c r="G779" s="188">
        <v>65.739999999999995</v>
      </c>
      <c r="H779" s="188"/>
      <c r="I779" s="188">
        <v>2</v>
      </c>
      <c r="J779" s="226" t="s">
        <v>26</v>
      </c>
      <c r="K779" s="188">
        <f t="shared" ref="K779:K786" si="30">G779*I779</f>
        <v>131.47999999999999</v>
      </c>
      <c r="L779" s="194"/>
    </row>
    <row r="780" spans="1:12" s="237" customFormat="1" ht="27.75" customHeight="1" x14ac:dyDescent="0.35">
      <c r="A780" s="235"/>
      <c r="B780" s="238"/>
      <c r="C780" s="236"/>
      <c r="D780" s="236"/>
      <c r="E780" s="250" t="s">
        <v>233</v>
      </c>
      <c r="F780" s="187"/>
      <c r="G780" s="188">
        <v>45.045299999999997</v>
      </c>
      <c r="H780" s="188"/>
      <c r="I780" s="188">
        <v>1</v>
      </c>
      <c r="J780" s="226" t="s">
        <v>26</v>
      </c>
      <c r="K780" s="188">
        <f t="shared" si="30"/>
        <v>45.045299999999997</v>
      </c>
      <c r="L780" s="194"/>
    </row>
    <row r="781" spans="1:12" s="237" customFormat="1" ht="27.75" customHeight="1" x14ac:dyDescent="0.35">
      <c r="A781" s="235"/>
      <c r="B781" s="238"/>
      <c r="C781" s="236"/>
      <c r="D781" s="236"/>
      <c r="E781" s="250" t="s">
        <v>234</v>
      </c>
      <c r="F781" s="187"/>
      <c r="G781" s="188">
        <v>9.8375000000000004</v>
      </c>
      <c r="H781" s="188"/>
      <c r="I781" s="188">
        <v>2</v>
      </c>
      <c r="J781" s="226" t="s">
        <v>26</v>
      </c>
      <c r="K781" s="188">
        <f t="shared" si="30"/>
        <v>19.675000000000001</v>
      </c>
      <c r="L781" s="194"/>
    </row>
    <row r="782" spans="1:12" s="237" customFormat="1" ht="27.75" customHeight="1" x14ac:dyDescent="0.35">
      <c r="A782" s="235"/>
      <c r="B782" s="238"/>
      <c r="C782" s="236"/>
      <c r="D782" s="236"/>
      <c r="E782" s="250" t="s">
        <v>235</v>
      </c>
      <c r="F782" s="187"/>
      <c r="G782" s="188">
        <v>48.181199999999997</v>
      </c>
      <c r="H782" s="188"/>
      <c r="I782" s="188">
        <v>2</v>
      </c>
      <c r="J782" s="226" t="s">
        <v>26</v>
      </c>
      <c r="K782" s="188">
        <f t="shared" si="30"/>
        <v>96.362399999999994</v>
      </c>
      <c r="L782" s="194"/>
    </row>
    <row r="783" spans="1:12" s="237" customFormat="1" ht="27.75" customHeight="1" x14ac:dyDescent="0.35">
      <c r="A783" s="235"/>
      <c r="B783" s="238"/>
      <c r="C783" s="236"/>
      <c r="D783" s="236"/>
      <c r="E783" s="250" t="s">
        <v>236</v>
      </c>
      <c r="F783" s="187"/>
      <c r="G783" s="188">
        <v>11.887499999999999</v>
      </c>
      <c r="H783" s="188"/>
      <c r="I783" s="188">
        <v>2</v>
      </c>
      <c r="J783" s="226" t="s">
        <v>26</v>
      </c>
      <c r="K783" s="188">
        <f t="shared" si="30"/>
        <v>23.774999999999999</v>
      </c>
    </row>
    <row r="784" spans="1:12" s="237" customFormat="1" ht="27.75" customHeight="1" x14ac:dyDescent="0.35">
      <c r="A784" s="235"/>
      <c r="B784" s="238"/>
      <c r="C784" s="236"/>
      <c r="D784" s="236"/>
      <c r="E784" s="250" t="s">
        <v>237</v>
      </c>
      <c r="F784" s="187"/>
      <c r="G784" s="188">
        <v>65.863</v>
      </c>
      <c r="H784" s="188"/>
      <c r="I784" s="188">
        <v>1</v>
      </c>
      <c r="J784" s="226" t="s">
        <v>26</v>
      </c>
      <c r="K784" s="188">
        <f t="shared" si="30"/>
        <v>65.863</v>
      </c>
    </row>
    <row r="785" spans="1:11" s="237" customFormat="1" ht="27.75" customHeight="1" x14ac:dyDescent="0.35">
      <c r="A785" s="235"/>
      <c r="B785" s="238"/>
      <c r="C785" s="236"/>
      <c r="D785" s="236"/>
      <c r="E785" s="250" t="s">
        <v>238</v>
      </c>
      <c r="F785" s="187"/>
      <c r="G785" s="188">
        <v>7.3864999999999998</v>
      </c>
      <c r="H785" s="188"/>
      <c r="I785" s="188">
        <v>1</v>
      </c>
      <c r="J785" s="226" t="s">
        <v>26</v>
      </c>
      <c r="K785" s="188">
        <f t="shared" si="30"/>
        <v>7.3864999999999998</v>
      </c>
    </row>
    <row r="786" spans="1:11" s="237" customFormat="1" ht="27.75" customHeight="1" x14ac:dyDescent="0.35">
      <c r="A786" s="235"/>
      <c r="B786" s="238"/>
      <c r="C786" s="236"/>
      <c r="D786" s="236"/>
      <c r="E786" s="250" t="s">
        <v>239</v>
      </c>
      <c r="F786" s="187"/>
      <c r="G786" s="188">
        <v>4.1562999999999999</v>
      </c>
      <c r="H786" s="188"/>
      <c r="I786" s="188">
        <v>4</v>
      </c>
      <c r="J786" s="226" t="s">
        <v>26</v>
      </c>
      <c r="K786" s="188">
        <f t="shared" si="30"/>
        <v>16.6252</v>
      </c>
    </row>
    <row r="787" spans="1:11" s="237" customFormat="1" ht="27.75" customHeight="1" x14ac:dyDescent="0.35">
      <c r="A787" s="235"/>
      <c r="B787" s="238"/>
      <c r="C787" s="236"/>
      <c r="D787" s="236"/>
      <c r="E787" s="250" t="s">
        <v>240</v>
      </c>
      <c r="F787" s="187"/>
      <c r="G787" s="188">
        <v>1.37</v>
      </c>
      <c r="H787" s="188">
        <v>3.5</v>
      </c>
      <c r="I787" s="188">
        <v>4</v>
      </c>
      <c r="J787" s="226" t="s">
        <v>26</v>
      </c>
      <c r="K787" s="188">
        <f>G787*H787*I787</f>
        <v>19.18</v>
      </c>
    </row>
    <row r="788" spans="1:11" s="237" customFormat="1" ht="27.75" customHeight="1" x14ac:dyDescent="0.35">
      <c r="A788" s="235"/>
      <c r="B788" s="238"/>
      <c r="C788" s="236"/>
      <c r="D788" s="236"/>
      <c r="E788" s="250" t="s">
        <v>241</v>
      </c>
      <c r="F788" s="187"/>
      <c r="G788" s="188">
        <f>0.87+0.26</f>
        <v>1.1299999999999999</v>
      </c>
      <c r="H788" s="188">
        <v>3.5</v>
      </c>
      <c r="I788" s="188">
        <v>2</v>
      </c>
      <c r="J788" s="226" t="s">
        <v>26</v>
      </c>
      <c r="K788" s="188">
        <f t="shared" ref="K788:K796" si="31">G788*H788*I788</f>
        <v>7.9099999999999993</v>
      </c>
    </row>
    <row r="789" spans="1:11" s="237" customFormat="1" ht="27.75" customHeight="1" x14ac:dyDescent="0.35">
      <c r="A789" s="235"/>
      <c r="B789" s="238"/>
      <c r="C789" s="236"/>
      <c r="D789" s="236"/>
      <c r="E789" s="250" t="s">
        <v>242</v>
      </c>
      <c r="F789" s="187"/>
      <c r="G789" s="188">
        <v>0.87</v>
      </c>
      <c r="H789" s="188">
        <v>3.5</v>
      </c>
      <c r="I789" s="188">
        <v>2</v>
      </c>
      <c r="J789" s="226" t="s">
        <v>26</v>
      </c>
      <c r="K789" s="188">
        <f t="shared" si="31"/>
        <v>6.09</v>
      </c>
    </row>
    <row r="790" spans="1:11" s="237" customFormat="1" ht="27.75" customHeight="1" x14ac:dyDescent="0.35">
      <c r="A790" s="235"/>
      <c r="B790" s="238"/>
      <c r="C790" s="236"/>
      <c r="D790" s="236"/>
      <c r="E790" s="250" t="s">
        <v>243</v>
      </c>
      <c r="F790" s="187"/>
      <c r="G790" s="188">
        <f>2.37+0.37</f>
        <v>2.74</v>
      </c>
      <c r="H790" s="188">
        <v>3.5</v>
      </c>
      <c r="I790" s="188">
        <v>1</v>
      </c>
      <c r="J790" s="226" t="s">
        <v>26</v>
      </c>
      <c r="K790" s="188">
        <f t="shared" si="31"/>
        <v>9.59</v>
      </c>
    </row>
    <row r="791" spans="1:11" s="237" customFormat="1" ht="27.75" customHeight="1" x14ac:dyDescent="0.35">
      <c r="A791" s="235"/>
      <c r="B791" s="238"/>
      <c r="C791" s="236"/>
      <c r="D791" s="236"/>
      <c r="E791" s="250" t="s">
        <v>244</v>
      </c>
      <c r="F791" s="187"/>
      <c r="G791" s="188">
        <f>0.26+0.87+1.26</f>
        <v>2.3899999999999997</v>
      </c>
      <c r="H791" s="188">
        <v>3.5</v>
      </c>
      <c r="I791" s="188">
        <v>1</v>
      </c>
      <c r="J791" s="226" t="s">
        <v>26</v>
      </c>
      <c r="K791" s="188">
        <f t="shared" si="31"/>
        <v>8.3649999999999984</v>
      </c>
    </row>
    <row r="792" spans="1:11" s="237" customFormat="1" ht="27.75" customHeight="1" x14ac:dyDescent="0.35">
      <c r="A792" s="235"/>
      <c r="B792" s="238"/>
      <c r="C792" s="236"/>
      <c r="D792" s="236"/>
      <c r="E792" s="250" t="s">
        <v>245</v>
      </c>
      <c r="F792" s="187"/>
      <c r="G792" s="188">
        <f>0.87+0.37</f>
        <v>1.24</v>
      </c>
      <c r="H792" s="188">
        <v>3.5</v>
      </c>
      <c r="I792" s="188">
        <v>1</v>
      </c>
      <c r="J792" s="226" t="s">
        <v>26</v>
      </c>
      <c r="K792" s="188">
        <f t="shared" si="31"/>
        <v>4.34</v>
      </c>
    </row>
    <row r="793" spans="1:11" s="237" customFormat="1" ht="27.75" customHeight="1" x14ac:dyDescent="0.35">
      <c r="A793" s="235"/>
      <c r="B793" s="238"/>
      <c r="C793" s="236"/>
      <c r="D793" s="236"/>
      <c r="E793" s="250" t="s">
        <v>246</v>
      </c>
      <c r="F793" s="187"/>
      <c r="G793" s="188">
        <v>0.76</v>
      </c>
      <c r="H793" s="188">
        <v>3.5</v>
      </c>
      <c r="I793" s="188">
        <v>1</v>
      </c>
      <c r="J793" s="226" t="s">
        <v>26</v>
      </c>
      <c r="K793" s="188">
        <f t="shared" si="31"/>
        <v>2.66</v>
      </c>
    </row>
    <row r="794" spans="1:11" s="237" customFormat="1" ht="27.75" customHeight="1" x14ac:dyDescent="0.35">
      <c r="A794" s="235"/>
      <c r="B794" s="238"/>
      <c r="C794" s="236"/>
      <c r="D794" s="236"/>
      <c r="E794" s="250" t="s">
        <v>249</v>
      </c>
      <c r="F794" s="187"/>
      <c r="G794" s="188">
        <v>3.65</v>
      </c>
      <c r="H794" s="188">
        <v>1</v>
      </c>
      <c r="I794" s="188"/>
      <c r="J794" s="226" t="s">
        <v>26</v>
      </c>
      <c r="K794" s="188">
        <f t="shared" si="31"/>
        <v>0</v>
      </c>
    </row>
    <row r="795" spans="1:11" s="237" customFormat="1" ht="27.75" customHeight="1" x14ac:dyDescent="0.35">
      <c r="A795" s="235"/>
      <c r="B795" s="238"/>
      <c r="C795" s="236"/>
      <c r="D795" s="236"/>
      <c r="E795" s="250" t="s">
        <v>250</v>
      </c>
      <c r="F795" s="187"/>
      <c r="G795" s="188">
        <v>1.65</v>
      </c>
      <c r="H795" s="188">
        <v>1</v>
      </c>
      <c r="I795" s="188"/>
      <c r="J795" s="226" t="s">
        <v>26</v>
      </c>
      <c r="K795" s="188">
        <f t="shared" si="31"/>
        <v>0</v>
      </c>
    </row>
    <row r="796" spans="1:11" s="194" customFormat="1" ht="24.95" customHeight="1" x14ac:dyDescent="0.35">
      <c r="A796" s="189"/>
      <c r="B796" s="190"/>
      <c r="C796" s="192"/>
      <c r="D796" s="192"/>
      <c r="E796" s="193" t="s">
        <v>251</v>
      </c>
      <c r="F796" s="187"/>
      <c r="G796" s="188">
        <f>0.45+0.45+0.16+0.16+0.16+0.16</f>
        <v>1.5399999999999998</v>
      </c>
      <c r="H796" s="188">
        <v>3.3</v>
      </c>
      <c r="I796" s="188">
        <v>6</v>
      </c>
      <c r="J796" s="226" t="s">
        <v>26</v>
      </c>
      <c r="K796" s="188">
        <f t="shared" si="31"/>
        <v>30.491999999999994</v>
      </c>
    </row>
    <row r="797" spans="1:11" s="194" customFormat="1" ht="24.95" customHeight="1" x14ac:dyDescent="0.35">
      <c r="A797" s="189"/>
      <c r="B797" s="190"/>
      <c r="C797" s="192"/>
      <c r="D797" s="192"/>
      <c r="E797" s="193" t="s">
        <v>252</v>
      </c>
      <c r="F797" s="187"/>
      <c r="G797" s="188">
        <f>0.4+0.4+0.13+0.13+0.13+0.13</f>
        <v>1.3199999999999998</v>
      </c>
      <c r="H797" s="188">
        <v>3.3</v>
      </c>
      <c r="I797" s="188">
        <v>13</v>
      </c>
      <c r="J797" s="226" t="s">
        <v>26</v>
      </c>
      <c r="K797" s="188">
        <f>G797*H797*I797</f>
        <v>56.627999999999986</v>
      </c>
    </row>
    <row r="798" spans="1:11" s="194" customFormat="1" ht="24.95" customHeight="1" x14ac:dyDescent="0.35">
      <c r="A798" s="189"/>
      <c r="B798" s="190"/>
      <c r="C798" s="192"/>
      <c r="D798" s="192"/>
      <c r="E798" s="193" t="s">
        <v>253</v>
      </c>
      <c r="F798" s="187"/>
      <c r="G798" s="188">
        <f>0.35+0.35+0.11+0.11+0.11+0.11</f>
        <v>1.1400000000000001</v>
      </c>
      <c r="H798" s="188">
        <v>3.3</v>
      </c>
      <c r="I798" s="188">
        <v>6.5</v>
      </c>
      <c r="J798" s="226" t="s">
        <v>26</v>
      </c>
      <c r="K798" s="188">
        <f>G798*H798*I798</f>
        <v>24.452999999999999</v>
      </c>
    </row>
    <row r="799" spans="1:11" s="194" customFormat="1" ht="24.95" customHeight="1" x14ac:dyDescent="0.35">
      <c r="A799" s="189"/>
      <c r="B799" s="190"/>
      <c r="C799" s="192"/>
      <c r="D799" s="192"/>
      <c r="E799" s="193"/>
      <c r="F799" s="187"/>
      <c r="G799" s="188">
        <f>0.35+0.35+0.11+0.11+0.11+0.11</f>
        <v>1.1400000000000001</v>
      </c>
      <c r="H799" s="188">
        <v>1.55</v>
      </c>
      <c r="I799" s="188">
        <v>2</v>
      </c>
      <c r="J799" s="226" t="s">
        <v>26</v>
      </c>
      <c r="K799" s="188">
        <f>G799*H799*I799</f>
        <v>3.5340000000000007</v>
      </c>
    </row>
    <row r="800" spans="1:11" s="194" customFormat="1" ht="24.95" customHeight="1" thickBot="1" x14ac:dyDescent="0.4">
      <c r="A800" s="189"/>
      <c r="B800" s="516" t="s">
        <v>189</v>
      </c>
      <c r="C800" s="517"/>
      <c r="D800" s="517"/>
      <c r="E800" s="517"/>
      <c r="F800" s="517"/>
      <c r="G800" s="517"/>
      <c r="H800" s="517"/>
      <c r="I800" s="517"/>
      <c r="J800" s="518"/>
      <c r="K800" s="213">
        <f>SUM(K774:K799)</f>
        <v>663.49020000000007</v>
      </c>
    </row>
    <row r="801" spans="1:12" s="194" customFormat="1" ht="24.95" customHeight="1" x14ac:dyDescent="0.35">
      <c r="A801" s="189"/>
      <c r="B801" s="197">
        <v>2</v>
      </c>
      <c r="C801" s="192" t="e">
        <f>GEDUNG!#REF!</f>
        <v>#REF!</v>
      </c>
      <c r="D801" s="192"/>
      <c r="E801" s="193"/>
      <c r="F801" s="187"/>
      <c r="G801" s="188"/>
      <c r="H801" s="188"/>
      <c r="I801" s="188"/>
      <c r="J801" s="226"/>
      <c r="K801" s="188"/>
    </row>
    <row r="802" spans="1:12" s="194" customFormat="1" ht="27.75" customHeight="1" x14ac:dyDescent="0.35">
      <c r="A802" s="189"/>
      <c r="B802" s="190"/>
      <c r="C802" s="192"/>
      <c r="D802" s="192"/>
      <c r="E802" s="250" t="s">
        <v>227</v>
      </c>
      <c r="F802" s="187"/>
      <c r="G802" s="188">
        <v>5.4625000000000004</v>
      </c>
      <c r="H802" s="188"/>
      <c r="I802" s="188">
        <v>2</v>
      </c>
      <c r="J802" s="226" t="s">
        <v>26</v>
      </c>
      <c r="K802" s="188">
        <f>G802*I802</f>
        <v>10.925000000000001</v>
      </c>
    </row>
    <row r="803" spans="1:12" s="237" customFormat="1" ht="27.75" customHeight="1" x14ac:dyDescent="0.35">
      <c r="A803" s="235"/>
      <c r="B803" s="238"/>
      <c r="C803" s="236"/>
      <c r="D803" s="236"/>
      <c r="E803" s="250" t="s">
        <v>228</v>
      </c>
      <c r="F803" s="187"/>
      <c r="G803" s="188">
        <v>4.375</v>
      </c>
      <c r="H803" s="188"/>
      <c r="I803" s="188">
        <v>1</v>
      </c>
      <c r="J803" s="226" t="s">
        <v>26</v>
      </c>
      <c r="K803" s="188">
        <f>G803*I803</f>
        <v>4.375</v>
      </c>
      <c r="L803" s="194"/>
    </row>
    <row r="804" spans="1:12" s="194" customFormat="1" ht="27.75" customHeight="1" x14ac:dyDescent="0.35">
      <c r="A804" s="189"/>
      <c r="B804" s="190"/>
      <c r="C804" s="192"/>
      <c r="D804" s="192"/>
      <c r="E804" s="250" t="s">
        <v>229</v>
      </c>
      <c r="F804" s="187"/>
      <c r="G804" s="188">
        <v>10.7925</v>
      </c>
      <c r="H804" s="188"/>
      <c r="I804" s="188">
        <v>1</v>
      </c>
      <c r="J804" s="226" t="s">
        <v>26</v>
      </c>
      <c r="K804" s="188">
        <f>G804*I804</f>
        <v>10.7925</v>
      </c>
    </row>
    <row r="805" spans="1:12" s="237" customFormat="1" ht="27.75" customHeight="1" x14ac:dyDescent="0.35">
      <c r="A805" s="235"/>
      <c r="B805" s="238"/>
      <c r="C805" s="236"/>
      <c r="D805" s="236"/>
      <c r="E805" s="250" t="s">
        <v>230</v>
      </c>
      <c r="F805" s="187"/>
      <c r="G805" s="188">
        <v>46.782699999999998</v>
      </c>
      <c r="H805" s="188"/>
      <c r="I805" s="188">
        <v>1</v>
      </c>
      <c r="J805" s="226" t="s">
        <v>26</v>
      </c>
      <c r="K805" s="249">
        <f>G805*I805</f>
        <v>46.782699999999998</v>
      </c>
      <c r="L805" s="194"/>
    </row>
    <row r="806" spans="1:12" s="237" customFormat="1" ht="27.75" customHeight="1" x14ac:dyDescent="0.35">
      <c r="A806" s="235"/>
      <c r="B806" s="238"/>
      <c r="C806" s="236"/>
      <c r="D806" s="236"/>
      <c r="E806" s="250" t="s">
        <v>231</v>
      </c>
      <c r="F806" s="187"/>
      <c r="G806" s="188">
        <v>2.67</v>
      </c>
      <c r="H806" s="188">
        <v>2.09</v>
      </c>
      <c r="I806" s="188"/>
      <c r="J806" s="226" t="s">
        <v>26</v>
      </c>
      <c r="K806" s="188">
        <f>G806*H806*I806</f>
        <v>0</v>
      </c>
      <c r="L806" s="194"/>
    </row>
    <row r="807" spans="1:12" s="237" customFormat="1" ht="27.75" customHeight="1" x14ac:dyDescent="0.35">
      <c r="A807" s="235"/>
      <c r="B807" s="238"/>
      <c r="C807" s="236"/>
      <c r="D807" s="236"/>
      <c r="E807" s="250" t="s">
        <v>232</v>
      </c>
      <c r="F807" s="187"/>
      <c r="G807" s="188">
        <v>65.739999999999995</v>
      </c>
      <c r="H807" s="188"/>
      <c r="I807" s="188">
        <v>0</v>
      </c>
      <c r="J807" s="226" t="s">
        <v>26</v>
      </c>
      <c r="K807" s="188">
        <f t="shared" ref="K807:K814" si="32">G807*I807</f>
        <v>0</v>
      </c>
      <c r="L807" s="194"/>
    </row>
    <row r="808" spans="1:12" s="237" customFormat="1" ht="27.75" customHeight="1" x14ac:dyDescent="0.35">
      <c r="A808" s="235"/>
      <c r="B808" s="238"/>
      <c r="C808" s="236"/>
      <c r="D808" s="236"/>
      <c r="E808" s="250" t="s">
        <v>233</v>
      </c>
      <c r="F808" s="187"/>
      <c r="G808" s="188">
        <v>45.045299999999997</v>
      </c>
      <c r="H808" s="188"/>
      <c r="I808" s="188">
        <v>1</v>
      </c>
      <c r="J808" s="226" t="s">
        <v>26</v>
      </c>
      <c r="K808" s="188">
        <f t="shared" si="32"/>
        <v>45.045299999999997</v>
      </c>
      <c r="L808" s="194"/>
    </row>
    <row r="809" spans="1:12" s="237" customFormat="1" ht="27.75" customHeight="1" x14ac:dyDescent="0.35">
      <c r="A809" s="235"/>
      <c r="B809" s="238"/>
      <c r="C809" s="236"/>
      <c r="D809" s="236"/>
      <c r="E809" s="250" t="s">
        <v>234</v>
      </c>
      <c r="F809" s="187"/>
      <c r="G809" s="188">
        <v>9.8375000000000004</v>
      </c>
      <c r="H809" s="188"/>
      <c r="I809" s="188"/>
      <c r="J809" s="226" t="s">
        <v>26</v>
      </c>
      <c r="K809" s="188">
        <f t="shared" si="32"/>
        <v>0</v>
      </c>
      <c r="L809" s="194"/>
    </row>
    <row r="810" spans="1:12" s="237" customFormat="1" ht="27.75" customHeight="1" x14ac:dyDescent="0.35">
      <c r="A810" s="235"/>
      <c r="B810" s="238"/>
      <c r="C810" s="236"/>
      <c r="D810" s="236"/>
      <c r="E810" s="250" t="s">
        <v>235</v>
      </c>
      <c r="F810" s="187"/>
      <c r="G810" s="188">
        <v>48.181199999999997</v>
      </c>
      <c r="H810" s="188"/>
      <c r="I810" s="188"/>
      <c r="J810" s="226" t="s">
        <v>26</v>
      </c>
      <c r="K810" s="188">
        <f t="shared" si="32"/>
        <v>0</v>
      </c>
      <c r="L810" s="194"/>
    </row>
    <row r="811" spans="1:12" s="237" customFormat="1" ht="27.75" customHeight="1" x14ac:dyDescent="0.35">
      <c r="A811" s="235"/>
      <c r="B811" s="238"/>
      <c r="C811" s="236"/>
      <c r="D811" s="236"/>
      <c r="E811" s="250" t="s">
        <v>236</v>
      </c>
      <c r="F811" s="187"/>
      <c r="G811" s="188">
        <v>11.887499999999999</v>
      </c>
      <c r="H811" s="188"/>
      <c r="I811" s="188"/>
      <c r="J811" s="226" t="s">
        <v>26</v>
      </c>
      <c r="K811" s="188">
        <f t="shared" si="32"/>
        <v>0</v>
      </c>
    </row>
    <row r="812" spans="1:12" s="237" customFormat="1" ht="27.75" customHeight="1" x14ac:dyDescent="0.35">
      <c r="A812" s="235"/>
      <c r="B812" s="238"/>
      <c r="C812" s="236"/>
      <c r="D812" s="236"/>
      <c r="E812" s="250" t="s">
        <v>237</v>
      </c>
      <c r="F812" s="187"/>
      <c r="G812" s="188">
        <v>65.863</v>
      </c>
      <c r="H812" s="188"/>
      <c r="I812" s="188">
        <v>1</v>
      </c>
      <c r="J812" s="226" t="s">
        <v>26</v>
      </c>
      <c r="K812" s="188">
        <f t="shared" si="32"/>
        <v>65.863</v>
      </c>
    </row>
    <row r="813" spans="1:12" s="237" customFormat="1" ht="27.75" customHeight="1" x14ac:dyDescent="0.35">
      <c r="A813" s="235"/>
      <c r="B813" s="238"/>
      <c r="C813" s="236"/>
      <c r="D813" s="236"/>
      <c r="E813" s="250" t="s">
        <v>238</v>
      </c>
      <c r="F813" s="187"/>
      <c r="G813" s="188">
        <v>7.3864999999999998</v>
      </c>
      <c r="H813" s="188"/>
      <c r="I813" s="188">
        <v>1</v>
      </c>
      <c r="J813" s="226" t="s">
        <v>26</v>
      </c>
      <c r="K813" s="188">
        <f t="shared" si="32"/>
        <v>7.3864999999999998</v>
      </c>
    </row>
    <row r="814" spans="1:12" s="237" customFormat="1" ht="27.75" customHeight="1" x14ac:dyDescent="0.35">
      <c r="A814" s="235"/>
      <c r="B814" s="238"/>
      <c r="C814" s="236"/>
      <c r="D814" s="236"/>
      <c r="E814" s="250" t="s">
        <v>239</v>
      </c>
      <c r="F814" s="187"/>
      <c r="G814" s="188">
        <v>4.1562999999999999</v>
      </c>
      <c r="H814" s="188"/>
      <c r="I814" s="188">
        <v>0</v>
      </c>
      <c r="J814" s="226" t="s">
        <v>26</v>
      </c>
      <c r="K814" s="188">
        <f t="shared" si="32"/>
        <v>0</v>
      </c>
    </row>
    <row r="815" spans="1:12" s="237" customFormat="1" ht="27.75" customHeight="1" x14ac:dyDescent="0.35">
      <c r="A815" s="235"/>
      <c r="B815" s="238"/>
      <c r="C815" s="236"/>
      <c r="D815" s="236"/>
      <c r="E815" s="250" t="s">
        <v>240</v>
      </c>
      <c r="F815" s="187"/>
      <c r="G815" s="188">
        <v>1.37</v>
      </c>
      <c r="H815" s="188">
        <v>3.5</v>
      </c>
      <c r="I815" s="188"/>
      <c r="J815" s="226" t="s">
        <v>26</v>
      </c>
      <c r="K815" s="188">
        <f>G815*H815*I815</f>
        <v>0</v>
      </c>
    </row>
    <row r="816" spans="1:12" s="237" customFormat="1" ht="27.75" customHeight="1" x14ac:dyDescent="0.35">
      <c r="A816" s="235"/>
      <c r="B816" s="238"/>
      <c r="C816" s="236"/>
      <c r="D816" s="236"/>
      <c r="E816" s="250" t="s">
        <v>241</v>
      </c>
      <c r="F816" s="187"/>
      <c r="G816" s="188">
        <f>0.87+0.26</f>
        <v>1.1299999999999999</v>
      </c>
      <c r="H816" s="188">
        <v>3.5</v>
      </c>
      <c r="I816" s="188"/>
      <c r="J816" s="226" t="s">
        <v>26</v>
      </c>
      <c r="K816" s="188">
        <f t="shared" ref="K816:K824" si="33">G816*H816*I816</f>
        <v>0</v>
      </c>
    </row>
    <row r="817" spans="1:11" s="237" customFormat="1" ht="27.75" customHeight="1" x14ac:dyDescent="0.35">
      <c r="A817" s="235"/>
      <c r="B817" s="238"/>
      <c r="C817" s="236"/>
      <c r="D817" s="236"/>
      <c r="E817" s="250" t="s">
        <v>242</v>
      </c>
      <c r="F817" s="187"/>
      <c r="G817" s="188">
        <v>0.87</v>
      </c>
      <c r="H817" s="188">
        <v>3.5</v>
      </c>
      <c r="I817" s="188"/>
      <c r="J817" s="226" t="s">
        <v>26</v>
      </c>
      <c r="K817" s="188">
        <f t="shared" si="33"/>
        <v>0</v>
      </c>
    </row>
    <row r="818" spans="1:11" s="237" customFormat="1" ht="27.75" customHeight="1" x14ac:dyDescent="0.35">
      <c r="A818" s="235"/>
      <c r="B818" s="238"/>
      <c r="C818" s="236"/>
      <c r="D818" s="236"/>
      <c r="E818" s="250" t="s">
        <v>243</v>
      </c>
      <c r="F818" s="187"/>
      <c r="G818" s="188">
        <f>2.37+0.37</f>
        <v>2.74</v>
      </c>
      <c r="H818" s="188">
        <v>3.5</v>
      </c>
      <c r="I818" s="188">
        <v>1</v>
      </c>
      <c r="J818" s="226" t="s">
        <v>26</v>
      </c>
      <c r="K818" s="188">
        <f t="shared" si="33"/>
        <v>9.59</v>
      </c>
    </row>
    <row r="819" spans="1:11" s="237" customFormat="1" ht="27.75" customHeight="1" x14ac:dyDescent="0.35">
      <c r="A819" s="235"/>
      <c r="B819" s="238"/>
      <c r="C819" s="236"/>
      <c r="D819" s="236"/>
      <c r="E819" s="250" t="s">
        <v>244</v>
      </c>
      <c r="F819" s="187"/>
      <c r="G819" s="188">
        <f>0.26+0.87+1.26</f>
        <v>2.3899999999999997</v>
      </c>
      <c r="H819" s="188">
        <v>3.5</v>
      </c>
      <c r="I819" s="188">
        <v>1</v>
      </c>
      <c r="J819" s="226" t="s">
        <v>26</v>
      </c>
      <c r="K819" s="188">
        <f t="shared" si="33"/>
        <v>8.3649999999999984</v>
      </c>
    </row>
    <row r="820" spans="1:11" s="237" customFormat="1" ht="27.75" customHeight="1" x14ac:dyDescent="0.35">
      <c r="A820" s="235"/>
      <c r="B820" s="238"/>
      <c r="C820" s="236"/>
      <c r="D820" s="236"/>
      <c r="E820" s="250" t="s">
        <v>245</v>
      </c>
      <c r="F820" s="187"/>
      <c r="G820" s="188">
        <f>0.87+0.37</f>
        <v>1.24</v>
      </c>
      <c r="H820" s="188">
        <v>3.5</v>
      </c>
      <c r="I820" s="188">
        <v>0</v>
      </c>
      <c r="J820" s="226" t="s">
        <v>26</v>
      </c>
      <c r="K820" s="188">
        <f t="shared" si="33"/>
        <v>0</v>
      </c>
    </row>
    <row r="821" spans="1:11" s="237" customFormat="1" ht="27.75" customHeight="1" x14ac:dyDescent="0.35">
      <c r="A821" s="235"/>
      <c r="B821" s="238"/>
      <c r="C821" s="236"/>
      <c r="D821" s="236"/>
      <c r="E821" s="250" t="s">
        <v>246</v>
      </c>
      <c r="F821" s="187"/>
      <c r="G821" s="188">
        <v>0.76</v>
      </c>
      <c r="H821" s="188">
        <v>3.5</v>
      </c>
      <c r="I821" s="188">
        <v>1</v>
      </c>
      <c r="J821" s="226" t="s">
        <v>26</v>
      </c>
      <c r="K821" s="188">
        <f t="shared" si="33"/>
        <v>2.66</v>
      </c>
    </row>
    <row r="822" spans="1:11" s="237" customFormat="1" ht="27.75" customHeight="1" x14ac:dyDescent="0.35">
      <c r="A822" s="235"/>
      <c r="B822" s="238"/>
      <c r="C822" s="236"/>
      <c r="D822" s="236"/>
      <c r="E822" s="250" t="s">
        <v>249</v>
      </c>
      <c r="F822" s="187"/>
      <c r="G822" s="188">
        <v>3.65</v>
      </c>
      <c r="H822" s="188">
        <v>1</v>
      </c>
      <c r="I822" s="188">
        <v>4</v>
      </c>
      <c r="J822" s="226" t="s">
        <v>26</v>
      </c>
      <c r="K822" s="188">
        <f t="shared" si="33"/>
        <v>14.6</v>
      </c>
    </row>
    <row r="823" spans="1:11" s="237" customFormat="1" ht="27.75" customHeight="1" x14ac:dyDescent="0.35">
      <c r="A823" s="235"/>
      <c r="B823" s="238"/>
      <c r="C823" s="236"/>
      <c r="D823" s="236"/>
      <c r="E823" s="250" t="s">
        <v>250</v>
      </c>
      <c r="F823" s="187"/>
      <c r="G823" s="188">
        <v>1.65</v>
      </c>
      <c r="H823" s="188">
        <v>1</v>
      </c>
      <c r="I823" s="188">
        <v>4</v>
      </c>
      <c r="J823" s="226" t="s">
        <v>26</v>
      </c>
      <c r="K823" s="188">
        <f t="shared" si="33"/>
        <v>6.6</v>
      </c>
    </row>
    <row r="824" spans="1:11" s="194" customFormat="1" ht="24.95" customHeight="1" x14ac:dyDescent="0.35">
      <c r="A824" s="189"/>
      <c r="B824" s="190"/>
      <c r="C824" s="192"/>
      <c r="D824" s="192"/>
      <c r="E824" s="193" t="s">
        <v>251</v>
      </c>
      <c r="F824" s="187"/>
      <c r="G824" s="188">
        <f>0.45+0.45+0.16+0.16+0.16+0.16</f>
        <v>1.5399999999999998</v>
      </c>
      <c r="H824" s="188">
        <v>3.3</v>
      </c>
      <c r="I824" s="188"/>
      <c r="J824" s="226" t="s">
        <v>26</v>
      </c>
      <c r="K824" s="188">
        <f t="shared" si="33"/>
        <v>0</v>
      </c>
    </row>
    <row r="825" spans="1:11" s="194" customFormat="1" ht="24.95" customHeight="1" x14ac:dyDescent="0.35">
      <c r="A825" s="189"/>
      <c r="B825" s="190"/>
      <c r="C825" s="192"/>
      <c r="D825" s="192"/>
      <c r="E825" s="193" t="s">
        <v>252</v>
      </c>
      <c r="F825" s="187"/>
      <c r="G825" s="188">
        <f>0.4+0.4+0.13+0.13+0.13+0.13</f>
        <v>1.3199999999999998</v>
      </c>
      <c r="H825" s="188">
        <v>3.3</v>
      </c>
      <c r="I825" s="188"/>
      <c r="J825" s="226" t="s">
        <v>26</v>
      </c>
      <c r="K825" s="188">
        <f>G825*H825*I825</f>
        <v>0</v>
      </c>
    </row>
    <row r="826" spans="1:11" s="194" customFormat="1" ht="24.95" customHeight="1" x14ac:dyDescent="0.35">
      <c r="A826" s="189"/>
      <c r="B826" s="190"/>
      <c r="C826" s="192"/>
      <c r="D826" s="192"/>
      <c r="E826" s="193" t="s">
        <v>253</v>
      </c>
      <c r="F826" s="187"/>
      <c r="G826" s="188">
        <f>0.35+0.35+0.11+0.11+0.11+0.11</f>
        <v>1.1400000000000001</v>
      </c>
      <c r="H826" s="188">
        <v>3.3</v>
      </c>
      <c r="I826" s="188">
        <v>7</v>
      </c>
      <c r="J826" s="226" t="s">
        <v>26</v>
      </c>
      <c r="K826" s="188">
        <f>G826*H826*I826</f>
        <v>26.334</v>
      </c>
    </row>
    <row r="827" spans="1:11" s="194" customFormat="1" ht="24.95" customHeight="1" x14ac:dyDescent="0.35">
      <c r="A827" s="189"/>
      <c r="B827" s="190"/>
      <c r="C827" s="192"/>
      <c r="D827" s="192"/>
      <c r="E827" s="193"/>
      <c r="F827" s="187"/>
      <c r="G827" s="188">
        <f>0.35+0.35+0.11+0.11+0.11+0.11</f>
        <v>1.1400000000000001</v>
      </c>
      <c r="H827" s="188">
        <v>1.55</v>
      </c>
      <c r="I827" s="188">
        <v>16</v>
      </c>
      <c r="J827" s="226" t="s">
        <v>26</v>
      </c>
      <c r="K827" s="188">
        <f>G827*H827*I827</f>
        <v>28.272000000000006</v>
      </c>
    </row>
    <row r="828" spans="1:11" s="194" customFormat="1" ht="24.95" customHeight="1" thickBot="1" x14ac:dyDescent="0.4">
      <c r="A828" s="189"/>
      <c r="B828" s="516" t="s">
        <v>189</v>
      </c>
      <c r="C828" s="517"/>
      <c r="D828" s="517"/>
      <c r="E828" s="517"/>
      <c r="F828" s="517"/>
      <c r="G828" s="517"/>
      <c r="H828" s="517"/>
      <c r="I828" s="517"/>
      <c r="J828" s="518"/>
      <c r="K828" s="213">
        <f>SUM(K802:K827)</f>
        <v>287.59100000000001</v>
      </c>
    </row>
    <row r="829" spans="1:11" s="194" customFormat="1" ht="24.95" customHeight="1" x14ac:dyDescent="0.35">
      <c r="A829" s="189"/>
      <c r="B829" s="197">
        <v>3</v>
      </c>
      <c r="C829" s="192" t="e">
        <f>GEDUNG!#REF!</f>
        <v>#REF!</v>
      </c>
      <c r="D829" s="192"/>
      <c r="E829" s="193"/>
      <c r="F829" s="187"/>
      <c r="G829" s="188"/>
      <c r="H829" s="188"/>
      <c r="I829" s="188"/>
      <c r="J829" s="226"/>
      <c r="K829" s="188"/>
    </row>
    <row r="830" spans="1:11" s="194" customFormat="1" ht="24.95" customHeight="1" x14ac:dyDescent="0.35">
      <c r="A830" s="189"/>
      <c r="B830" s="197"/>
      <c r="C830" s="192"/>
      <c r="D830" s="192"/>
      <c r="E830" s="250" t="s">
        <v>227</v>
      </c>
      <c r="F830" s="187"/>
      <c r="G830" s="188">
        <v>10.63</v>
      </c>
      <c r="H830" s="188">
        <v>1.3</v>
      </c>
      <c r="I830" s="188">
        <v>1</v>
      </c>
      <c r="J830" s="226" t="s">
        <v>26</v>
      </c>
      <c r="K830" s="188">
        <f>G830*H830*I830</f>
        <v>13.819000000000001</v>
      </c>
    </row>
    <row r="831" spans="1:11" s="194" customFormat="1" ht="24.95" customHeight="1" x14ac:dyDescent="0.35">
      <c r="A831" s="189"/>
      <c r="B831" s="197"/>
      <c r="C831" s="192"/>
      <c r="D831" s="192"/>
      <c r="E831" s="250" t="s">
        <v>228</v>
      </c>
      <c r="F831" s="187"/>
      <c r="G831" s="188">
        <v>1.26</v>
      </c>
      <c r="H831" s="188">
        <v>3.5</v>
      </c>
      <c r="I831" s="188">
        <v>1</v>
      </c>
      <c r="J831" s="226" t="s">
        <v>26</v>
      </c>
      <c r="K831" s="188">
        <f>G831*H831*I831</f>
        <v>4.41</v>
      </c>
    </row>
    <row r="832" spans="1:11" s="194" customFormat="1" ht="24.95" customHeight="1" x14ac:dyDescent="0.35">
      <c r="A832" s="189"/>
      <c r="B832" s="197"/>
      <c r="C832" s="192"/>
      <c r="D832" s="192"/>
      <c r="E832" s="250" t="s">
        <v>229</v>
      </c>
      <c r="F832" s="187"/>
      <c r="G832" s="188">
        <v>27.248999999999999</v>
      </c>
      <c r="H832" s="188"/>
      <c r="I832" s="188">
        <v>1</v>
      </c>
      <c r="J832" s="226" t="s">
        <v>26</v>
      </c>
      <c r="K832" s="188">
        <f>G832*I832</f>
        <v>27.248999999999999</v>
      </c>
    </row>
    <row r="833" spans="1:11" s="194" customFormat="1" ht="24.95" customHeight="1" x14ac:dyDescent="0.35">
      <c r="A833" s="189"/>
      <c r="B833" s="197"/>
      <c r="C833" s="192"/>
      <c r="D833" s="192"/>
      <c r="E833" s="250" t="s">
        <v>230</v>
      </c>
      <c r="F833" s="187"/>
      <c r="G833" s="188">
        <v>60.905000000000001</v>
      </c>
      <c r="H833" s="188"/>
      <c r="I833" s="188">
        <v>1</v>
      </c>
      <c r="J833" s="226" t="s">
        <v>26</v>
      </c>
      <c r="K833" s="188">
        <f>G833*I833</f>
        <v>60.905000000000001</v>
      </c>
    </row>
    <row r="834" spans="1:11" s="194" customFormat="1" ht="24.95" customHeight="1" x14ac:dyDescent="0.35">
      <c r="A834" s="189"/>
      <c r="B834" s="197"/>
      <c r="C834" s="192"/>
      <c r="D834" s="192"/>
      <c r="E834" s="250" t="s">
        <v>231</v>
      </c>
      <c r="F834" s="187"/>
      <c r="G834" s="188">
        <v>48.875999999999998</v>
      </c>
      <c r="H834" s="188"/>
      <c r="I834" s="188">
        <v>2</v>
      </c>
      <c r="J834" s="226" t="s">
        <v>26</v>
      </c>
      <c r="K834" s="188">
        <f>G834*I834</f>
        <v>97.751999999999995</v>
      </c>
    </row>
    <row r="835" spans="1:11" s="194" customFormat="1" ht="24.95" customHeight="1" x14ac:dyDescent="0.35">
      <c r="A835" s="189"/>
      <c r="B835" s="197"/>
      <c r="C835" s="192"/>
      <c r="D835" s="192"/>
      <c r="E835" s="250" t="s">
        <v>232</v>
      </c>
      <c r="F835" s="187"/>
      <c r="G835" s="188">
        <f>0.17+0.17+0.15+0.15</f>
        <v>0.64</v>
      </c>
      <c r="H835" s="188">
        <v>2.8</v>
      </c>
      <c r="I835" s="188">
        <v>1</v>
      </c>
      <c r="J835" s="226" t="s">
        <v>26</v>
      </c>
      <c r="K835" s="188">
        <f>G835*H835*I835</f>
        <v>1.7919999999999998</v>
      </c>
    </row>
    <row r="836" spans="1:11" s="194" customFormat="1" ht="24.95" customHeight="1" x14ac:dyDescent="0.35">
      <c r="A836" s="189"/>
      <c r="B836" s="197"/>
      <c r="C836" s="192"/>
      <c r="D836" s="192"/>
      <c r="E836" s="250" t="s">
        <v>233</v>
      </c>
      <c r="F836" s="187"/>
      <c r="G836" s="188">
        <v>67.245999999999995</v>
      </c>
      <c r="H836" s="188"/>
      <c r="I836" s="188">
        <v>2</v>
      </c>
      <c r="J836" s="226" t="s">
        <v>26</v>
      </c>
      <c r="K836" s="188">
        <f t="shared" ref="K836:K848" si="34">G836*I836</f>
        <v>134.49199999999999</v>
      </c>
    </row>
    <row r="837" spans="1:11" s="194" customFormat="1" ht="24.95" customHeight="1" x14ac:dyDescent="0.35">
      <c r="A837" s="189"/>
      <c r="B837" s="197"/>
      <c r="C837" s="192"/>
      <c r="D837" s="192"/>
      <c r="E837" s="250" t="s">
        <v>234</v>
      </c>
      <c r="F837" s="187"/>
      <c r="G837" s="188">
        <f>2.37+0.37</f>
        <v>2.74</v>
      </c>
      <c r="H837" s="188">
        <f>4-0.3</f>
        <v>3.7</v>
      </c>
      <c r="I837" s="188">
        <v>2</v>
      </c>
      <c r="J837" s="226" t="s">
        <v>26</v>
      </c>
      <c r="K837" s="188">
        <f t="shared" si="34"/>
        <v>5.48</v>
      </c>
    </row>
    <row r="838" spans="1:11" s="194" customFormat="1" ht="24.95" customHeight="1" x14ac:dyDescent="0.35">
      <c r="A838" s="189"/>
      <c r="B838" s="197"/>
      <c r="C838" s="192"/>
      <c r="D838" s="192"/>
      <c r="E838" s="250" t="s">
        <v>235</v>
      </c>
      <c r="F838" s="187"/>
      <c r="G838" s="188">
        <v>39.838500000000003</v>
      </c>
      <c r="H838" s="188"/>
      <c r="I838" s="188">
        <v>2</v>
      </c>
      <c r="J838" s="226" t="s">
        <v>26</v>
      </c>
      <c r="K838" s="188">
        <f t="shared" si="34"/>
        <v>79.677000000000007</v>
      </c>
    </row>
    <row r="839" spans="1:11" s="194" customFormat="1" ht="24.95" customHeight="1" x14ac:dyDescent="0.35">
      <c r="A839" s="189"/>
      <c r="B839" s="197"/>
      <c r="C839" s="192"/>
      <c r="D839" s="192"/>
      <c r="E839" s="250" t="s">
        <v>236</v>
      </c>
      <c r="F839" s="187"/>
      <c r="G839" s="188">
        <v>48.625300000000003</v>
      </c>
      <c r="H839" s="188"/>
      <c r="I839" s="188">
        <v>1</v>
      </c>
      <c r="J839" s="226" t="s">
        <v>26</v>
      </c>
      <c r="K839" s="188">
        <f t="shared" si="34"/>
        <v>48.625300000000003</v>
      </c>
    </row>
    <row r="840" spans="1:11" s="194" customFormat="1" ht="24.95" customHeight="1" x14ac:dyDescent="0.35">
      <c r="A840" s="189"/>
      <c r="B840" s="197"/>
      <c r="C840" s="192"/>
      <c r="D840" s="192"/>
      <c r="E840" s="250" t="s">
        <v>237</v>
      </c>
      <c r="F840" s="187"/>
      <c r="G840" s="188">
        <v>8.7575000000000003</v>
      </c>
      <c r="H840" s="188"/>
      <c r="I840" s="188">
        <v>1</v>
      </c>
      <c r="J840" s="226" t="s">
        <v>26</v>
      </c>
      <c r="K840" s="188">
        <f t="shared" si="34"/>
        <v>8.7575000000000003</v>
      </c>
    </row>
    <row r="841" spans="1:11" s="194" customFormat="1" ht="24.95" customHeight="1" x14ac:dyDescent="0.35">
      <c r="A841" s="189"/>
      <c r="B841" s="197"/>
      <c r="C841" s="192"/>
      <c r="D841" s="192"/>
      <c r="E841" s="250" t="s">
        <v>238</v>
      </c>
      <c r="F841" s="187"/>
      <c r="G841" s="188">
        <f>0.23+0.18</f>
        <v>0.41000000000000003</v>
      </c>
      <c r="H841" s="188">
        <v>2.8</v>
      </c>
      <c r="I841" s="188">
        <v>2</v>
      </c>
      <c r="J841" s="226" t="s">
        <v>26</v>
      </c>
      <c r="K841" s="188">
        <f t="shared" si="34"/>
        <v>0.82000000000000006</v>
      </c>
    </row>
    <row r="842" spans="1:11" s="194" customFormat="1" ht="24.95" customHeight="1" x14ac:dyDescent="0.35">
      <c r="A842" s="189"/>
      <c r="B842" s="197"/>
      <c r="C842" s="192"/>
      <c r="D842" s="192"/>
      <c r="E842" s="250" t="s">
        <v>239</v>
      </c>
      <c r="F842" s="187"/>
      <c r="G842" s="188">
        <v>35.1203</v>
      </c>
      <c r="H842" s="188"/>
      <c r="I842" s="188">
        <v>2</v>
      </c>
      <c r="J842" s="226" t="s">
        <v>26</v>
      </c>
      <c r="K842" s="188">
        <f t="shared" si="34"/>
        <v>70.240600000000001</v>
      </c>
    </row>
    <row r="843" spans="1:11" s="194" customFormat="1" ht="24.95" customHeight="1" x14ac:dyDescent="0.35">
      <c r="A843" s="189"/>
      <c r="B843" s="197"/>
      <c r="C843" s="192"/>
      <c r="D843" s="192"/>
      <c r="E843" s="250" t="s">
        <v>240</v>
      </c>
      <c r="F843" s="187"/>
      <c r="G843" s="188">
        <v>34.018000000000001</v>
      </c>
      <c r="H843" s="188"/>
      <c r="I843" s="188">
        <v>2</v>
      </c>
      <c r="J843" s="226" t="s">
        <v>26</v>
      </c>
      <c r="K843" s="188">
        <f t="shared" si="34"/>
        <v>68.036000000000001</v>
      </c>
    </row>
    <row r="844" spans="1:11" s="194" customFormat="1" ht="24.95" customHeight="1" x14ac:dyDescent="0.35">
      <c r="A844" s="189"/>
      <c r="B844" s="197"/>
      <c r="C844" s="192"/>
      <c r="D844" s="192"/>
      <c r="E844" s="250" t="s">
        <v>241</v>
      </c>
      <c r="F844" s="187"/>
      <c r="G844" s="188">
        <v>12.913</v>
      </c>
      <c r="H844" s="188"/>
      <c r="I844" s="188">
        <v>2</v>
      </c>
      <c r="J844" s="226" t="s">
        <v>26</v>
      </c>
      <c r="K844" s="188">
        <f t="shared" si="34"/>
        <v>25.826000000000001</v>
      </c>
    </row>
    <row r="845" spans="1:11" s="194" customFormat="1" ht="24.95" customHeight="1" x14ac:dyDescent="0.35">
      <c r="A845" s="189"/>
      <c r="B845" s="197"/>
      <c r="C845" s="192"/>
      <c r="D845" s="192"/>
      <c r="E845" s="250" t="s">
        <v>242</v>
      </c>
      <c r="F845" s="187"/>
      <c r="G845" s="188">
        <v>3.774</v>
      </c>
      <c r="H845" s="188"/>
      <c r="I845" s="188">
        <v>4</v>
      </c>
      <c r="J845" s="226" t="s">
        <v>26</v>
      </c>
      <c r="K845" s="188">
        <f t="shared" si="34"/>
        <v>15.096</v>
      </c>
    </row>
    <row r="846" spans="1:11" s="194" customFormat="1" ht="24.95" customHeight="1" x14ac:dyDescent="0.35">
      <c r="A846" s="189"/>
      <c r="B846" s="197"/>
      <c r="C846" s="192"/>
      <c r="D846" s="192"/>
      <c r="E846" s="250" t="s">
        <v>243</v>
      </c>
      <c r="F846" s="187"/>
      <c r="G846" s="188">
        <v>1.37</v>
      </c>
      <c r="H846" s="188">
        <v>3.5</v>
      </c>
      <c r="I846" s="188">
        <v>4</v>
      </c>
      <c r="J846" s="226" t="s">
        <v>26</v>
      </c>
      <c r="K846" s="188">
        <f t="shared" si="34"/>
        <v>5.48</v>
      </c>
    </row>
    <row r="847" spans="1:11" s="194" customFormat="1" ht="24.95" customHeight="1" x14ac:dyDescent="0.35">
      <c r="A847" s="189"/>
      <c r="B847" s="197"/>
      <c r="C847" s="192"/>
      <c r="D847" s="192"/>
      <c r="E847" s="250" t="s">
        <v>244</v>
      </c>
      <c r="F847" s="187"/>
      <c r="G847" s="188">
        <v>1.1299999999999999</v>
      </c>
      <c r="H847" s="188">
        <v>3.5</v>
      </c>
      <c r="I847" s="188">
        <v>2</v>
      </c>
      <c r="J847" s="226" t="s">
        <v>26</v>
      </c>
      <c r="K847" s="188">
        <f t="shared" si="34"/>
        <v>2.2599999999999998</v>
      </c>
    </row>
    <row r="848" spans="1:11" s="194" customFormat="1" ht="24.95" customHeight="1" x14ac:dyDescent="0.35">
      <c r="A848" s="189"/>
      <c r="B848" s="197"/>
      <c r="C848" s="192"/>
      <c r="D848" s="192"/>
      <c r="E848" s="250" t="s">
        <v>245</v>
      </c>
      <c r="F848" s="187"/>
      <c r="G848" s="188">
        <f>0.87+0.37</f>
        <v>1.24</v>
      </c>
      <c r="H848" s="188">
        <v>3.5</v>
      </c>
      <c r="I848" s="188">
        <v>2</v>
      </c>
      <c r="J848" s="226" t="s">
        <v>26</v>
      </c>
      <c r="K848" s="188">
        <f t="shared" si="34"/>
        <v>2.48</v>
      </c>
    </row>
    <row r="849" spans="1:11" s="194" customFormat="1" ht="24.95" customHeight="1" x14ac:dyDescent="0.35">
      <c r="A849" s="189"/>
      <c r="B849" s="197"/>
      <c r="C849" s="192"/>
      <c r="D849" s="192"/>
      <c r="E849" s="250" t="s">
        <v>265</v>
      </c>
      <c r="F849" s="187"/>
      <c r="G849" s="188">
        <f>1.63+0.76+2.87+0.76+1.65+2.63</f>
        <v>10.3</v>
      </c>
      <c r="H849" s="188">
        <f>10.25-8-0.3</f>
        <v>1.95</v>
      </c>
      <c r="I849" s="188">
        <v>1</v>
      </c>
      <c r="J849" s="226" t="s">
        <v>26</v>
      </c>
      <c r="K849" s="188">
        <f>G849*H849*I849</f>
        <v>20.085000000000001</v>
      </c>
    </row>
    <row r="850" spans="1:11" s="194" customFormat="1" ht="24.95" customHeight="1" x14ac:dyDescent="0.35">
      <c r="A850" s="189"/>
      <c r="B850" s="197"/>
      <c r="C850" s="192"/>
      <c r="D850" s="192"/>
      <c r="E850" s="250" t="s">
        <v>264</v>
      </c>
      <c r="F850" s="187"/>
      <c r="G850" s="188">
        <f>0.4+0.4+0.13+0.13+0.13+0.13</f>
        <v>1.3199999999999998</v>
      </c>
      <c r="H850" s="188">
        <v>3.3</v>
      </c>
      <c r="I850" s="188">
        <v>6.5</v>
      </c>
      <c r="J850" s="226" t="s">
        <v>26</v>
      </c>
      <c r="K850" s="188">
        <f>G850*H850*I850</f>
        <v>28.313999999999993</v>
      </c>
    </row>
    <row r="851" spans="1:11" s="194" customFormat="1" ht="24.95" customHeight="1" x14ac:dyDescent="0.35">
      <c r="A851" s="189"/>
      <c r="B851" s="190"/>
      <c r="C851" s="192"/>
      <c r="D851" s="192"/>
      <c r="E851" s="250" t="s">
        <v>253</v>
      </c>
      <c r="F851" s="187"/>
      <c r="G851" s="188">
        <f>0.35+0.35+0.11+0.11+0.11+0.11</f>
        <v>1.1400000000000001</v>
      </c>
      <c r="H851" s="188">
        <v>3.3</v>
      </c>
      <c r="I851" s="188">
        <v>7</v>
      </c>
      <c r="J851" s="226" t="s">
        <v>26</v>
      </c>
      <c r="K851" s="188">
        <f>G851*H851*I851</f>
        <v>26.334</v>
      </c>
    </row>
    <row r="852" spans="1:11" s="194" customFormat="1" ht="24.95" customHeight="1" thickBot="1" x14ac:dyDescent="0.4">
      <c r="A852" s="189"/>
      <c r="B852" s="519" t="s">
        <v>189</v>
      </c>
      <c r="C852" s="520"/>
      <c r="D852" s="520"/>
      <c r="E852" s="520"/>
      <c r="F852" s="520"/>
      <c r="G852" s="520"/>
      <c r="H852" s="520"/>
      <c r="I852" s="520"/>
      <c r="J852" s="521"/>
      <c r="K852" s="213">
        <f>SUM(K830:K851)</f>
        <v>747.93039999999996</v>
      </c>
    </row>
  </sheetData>
  <mergeCells count="127">
    <mergeCell ref="B745:J745"/>
    <mergeCell ref="B753:J753"/>
    <mergeCell ref="B758:J758"/>
    <mergeCell ref="B764:J764"/>
    <mergeCell ref="B770:J770"/>
    <mergeCell ref="B730:J730"/>
    <mergeCell ref="B733:J733"/>
    <mergeCell ref="B736:J736"/>
    <mergeCell ref="B739:J739"/>
    <mergeCell ref="B742:J742"/>
    <mergeCell ref="B60:J60"/>
    <mergeCell ref="B280:J280"/>
    <mergeCell ref="B535:J535"/>
    <mergeCell ref="B231:J231"/>
    <mergeCell ref="B314:J314"/>
    <mergeCell ref="B222:J222"/>
    <mergeCell ref="B203:J203"/>
    <mergeCell ref="B708:J708"/>
    <mergeCell ref="B687:J687"/>
    <mergeCell ref="B549:J549"/>
    <mergeCell ref="B553:J553"/>
    <mergeCell ref="B170:J170"/>
    <mergeCell ref="B240:J240"/>
    <mergeCell ref="B189:J189"/>
    <mergeCell ref="B199:J199"/>
    <mergeCell ref="B196:J196"/>
    <mergeCell ref="B216:J216"/>
    <mergeCell ref="B436:J436"/>
    <mergeCell ref="B567:J567"/>
    <mergeCell ref="B471:J471"/>
    <mergeCell ref="B520:J520"/>
    <mergeCell ref="B606:J606"/>
    <mergeCell ref="B609:J609"/>
    <mergeCell ref="B623:J623"/>
    <mergeCell ref="A1:K1"/>
    <mergeCell ref="A12:A13"/>
    <mergeCell ref="B12:E13"/>
    <mergeCell ref="F12:H12"/>
    <mergeCell ref="I12:I13"/>
    <mergeCell ref="B186:J186"/>
    <mergeCell ref="B193:J193"/>
    <mergeCell ref="B318:J318"/>
    <mergeCell ref="B276:J276"/>
    <mergeCell ref="B265:J265"/>
    <mergeCell ref="B219:J219"/>
    <mergeCell ref="B207:J207"/>
    <mergeCell ref="B212:J212"/>
    <mergeCell ref="B98:J98"/>
    <mergeCell ref="B89:J89"/>
    <mergeCell ref="B28:J28"/>
    <mergeCell ref="B96:J96"/>
    <mergeCell ref="B144:J144"/>
    <mergeCell ref="B92:J92"/>
    <mergeCell ref="B102:J102"/>
    <mergeCell ref="B135:J135"/>
    <mergeCell ref="B148:J148"/>
    <mergeCell ref="B52:J52"/>
    <mergeCell ref="B55:J55"/>
    <mergeCell ref="M12:M13"/>
    <mergeCell ref="B16:J16"/>
    <mergeCell ref="B20:J20"/>
    <mergeCell ref="B22:J22"/>
    <mergeCell ref="L12:L13"/>
    <mergeCell ref="B24:J24"/>
    <mergeCell ref="B26:J26"/>
    <mergeCell ref="J12:J13"/>
    <mergeCell ref="B18:J18"/>
    <mergeCell ref="K12:K13"/>
    <mergeCell ref="B727:J727"/>
    <mergeCell ref="B304:J304"/>
    <mergeCell ref="B251:J251"/>
    <mergeCell ref="B405:J405"/>
    <mergeCell ref="B381:J381"/>
    <mergeCell ref="B583:J583"/>
    <mergeCell ref="B289:J289"/>
    <mergeCell ref="B292:J292"/>
    <mergeCell ref="B301:J301"/>
    <mergeCell ref="B544:J544"/>
    <mergeCell ref="B714:J714"/>
    <mergeCell ref="B717:J717"/>
    <mergeCell ref="B721:J721"/>
    <mergeCell ref="B724:J724"/>
    <mergeCell ref="B693:J693"/>
    <mergeCell ref="B702:J702"/>
    <mergeCell ref="B574:J574"/>
    <mergeCell ref="B699:J699"/>
    <mergeCell ref="B696:J696"/>
    <mergeCell ref="B579:J579"/>
    <mergeCell ref="B612:J612"/>
    <mergeCell ref="B684:J684"/>
    <mergeCell ref="B640:J640"/>
    <mergeCell ref="B669:J669"/>
    <mergeCell ref="B517:J517"/>
    <mergeCell ref="B152:J152"/>
    <mergeCell ref="B260:J260"/>
    <mergeCell ref="B131:J131"/>
    <mergeCell ref="B141:J141"/>
    <mergeCell ref="B138:J138"/>
    <mergeCell ref="B560:J560"/>
    <mergeCell ref="B539:J539"/>
    <mergeCell ref="B368:J368"/>
    <mergeCell ref="B336:J336"/>
    <mergeCell ref="B530:J530"/>
    <mergeCell ref="B828:J828"/>
    <mergeCell ref="B852:J852"/>
    <mergeCell ref="B244:J244"/>
    <mergeCell ref="B284:J284"/>
    <mergeCell ref="B570:J570"/>
    <mergeCell ref="B527:J527"/>
    <mergeCell ref="B445:J445"/>
    <mergeCell ref="B600:J600"/>
    <mergeCell ref="B326:J326"/>
    <mergeCell ref="B493:J493"/>
    <mergeCell ref="B362:J362"/>
    <mergeCell ref="B672:J672"/>
    <mergeCell ref="B800:J800"/>
    <mergeCell ref="B643:J643"/>
    <mergeCell ref="B653:J653"/>
    <mergeCell ref="B705:J705"/>
    <mergeCell ref="B690:J690"/>
    <mergeCell ref="B448:J448"/>
    <mergeCell ref="B711:J711"/>
    <mergeCell ref="B679:J679"/>
    <mergeCell ref="B590:J590"/>
    <mergeCell ref="B620:J620"/>
    <mergeCell ref="B433:J433"/>
    <mergeCell ref="B617:J617"/>
  </mergeCells>
  <printOptions horizontalCentered="1"/>
  <pageMargins left="0.5" right="0.4" top="0.5" bottom="0.5" header="0.3" footer="0.3"/>
  <pageSetup paperSize="9" scale="54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G478"/>
  <sheetViews>
    <sheetView topLeftCell="A214" workbookViewId="0">
      <selection activeCell="AB443" sqref="AB443"/>
    </sheetView>
  </sheetViews>
  <sheetFormatPr defaultColWidth="2.28515625" defaultRowHeight="12.75" x14ac:dyDescent="0.2"/>
  <cols>
    <col min="1" max="1" width="2.7109375" style="8" customWidth="1"/>
    <col min="2" max="2" width="6.7109375" style="60" customWidth="1"/>
    <col min="3" max="3" width="0.85546875" style="8" customWidth="1"/>
    <col min="4" max="25" width="2.28515625" style="8" customWidth="1"/>
    <col min="26" max="26" width="5" style="8" customWidth="1"/>
    <col min="27" max="27" width="8.7109375" style="61" customWidth="1"/>
    <col min="28" max="28" width="20.7109375" style="62" customWidth="1"/>
    <col min="29" max="29" width="12.7109375" style="61" customWidth="1"/>
    <col min="30" max="30" width="12.7109375" style="8" customWidth="1"/>
    <col min="31" max="31" width="2.7109375" style="8" customWidth="1"/>
    <col min="32" max="32" width="2.28515625" style="8" customWidth="1"/>
    <col min="33" max="33" width="19" style="8" customWidth="1"/>
    <col min="34" max="16384" width="2.28515625" style="8"/>
  </cols>
  <sheetData>
    <row r="1" spans="1:31" x14ac:dyDescent="0.2">
      <c r="A1" s="3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/>
      <c r="AB1" s="6"/>
      <c r="AC1" s="5"/>
      <c r="AD1" s="3"/>
      <c r="AE1" s="7"/>
    </row>
    <row r="2" spans="1:31" ht="15" x14ac:dyDescent="0.2">
      <c r="A2" s="3"/>
      <c r="B2" s="546" t="s">
        <v>65</v>
      </c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7"/>
    </row>
    <row r="3" spans="1:31" x14ac:dyDescent="0.2">
      <c r="A3" s="3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0"/>
      <c r="AC3" s="9"/>
      <c r="AD3" s="9"/>
      <c r="AE3" s="7"/>
    </row>
    <row r="4" spans="1:31" x14ac:dyDescent="0.2">
      <c r="A4" s="3"/>
      <c r="B4" s="11" t="s">
        <v>1</v>
      </c>
      <c r="C4" s="12"/>
      <c r="D4" s="12"/>
      <c r="E4" s="12"/>
      <c r="F4" s="12"/>
      <c r="G4" s="11"/>
      <c r="H4" s="11"/>
      <c r="I4" s="13"/>
      <c r="J4" s="11" t="s">
        <v>0</v>
      </c>
      <c r="K4" s="146" t="e">
        <f>#REF!</f>
        <v>#REF!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7"/>
    </row>
    <row r="5" spans="1:31" x14ac:dyDescent="0.2">
      <c r="A5" s="3"/>
      <c r="B5" s="11"/>
      <c r="C5" s="12"/>
      <c r="D5" s="12"/>
      <c r="E5" s="12"/>
      <c r="F5" s="12"/>
      <c r="G5" s="11"/>
      <c r="H5" s="11"/>
      <c r="I5" s="13"/>
      <c r="J5" s="11"/>
      <c r="K5" s="13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10"/>
      <c r="AC5" s="9"/>
      <c r="AD5" s="9"/>
      <c r="AE5" s="7"/>
    </row>
    <row r="6" spans="1:31" x14ac:dyDescent="0.2">
      <c r="A6" s="3"/>
      <c r="B6" s="15" t="s">
        <v>3</v>
      </c>
      <c r="C6" s="3"/>
      <c r="D6" s="3"/>
      <c r="E6" s="3"/>
      <c r="F6" s="3"/>
      <c r="G6" s="3"/>
      <c r="H6" s="3"/>
      <c r="I6" s="3"/>
      <c r="J6" s="3" t="s">
        <v>0</v>
      </c>
      <c r="K6" s="547">
        <v>2017</v>
      </c>
      <c r="L6" s="547"/>
      <c r="M6" s="54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5"/>
      <c r="AB6" s="16"/>
      <c r="AC6" s="17"/>
      <c r="AD6" s="18"/>
      <c r="AE6" s="7"/>
    </row>
    <row r="7" spans="1:31" x14ac:dyDescent="0.2">
      <c r="A7" s="3"/>
      <c r="B7" s="1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5"/>
      <c r="AB7" s="16"/>
      <c r="AC7" s="17"/>
      <c r="AD7" s="18"/>
      <c r="AE7" s="7"/>
    </row>
    <row r="8" spans="1:31" x14ac:dyDescent="0.2">
      <c r="A8" s="3"/>
      <c r="B8" s="19"/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2"/>
      <c r="AA8" s="23"/>
      <c r="AB8" s="24"/>
      <c r="AC8" s="23"/>
      <c r="AD8" s="25"/>
      <c r="AE8" s="7"/>
    </row>
    <row r="9" spans="1:31" x14ac:dyDescent="0.2">
      <c r="A9" s="3"/>
      <c r="B9" s="26" t="s">
        <v>5</v>
      </c>
      <c r="C9" s="548" t="s">
        <v>66</v>
      </c>
      <c r="D9" s="549"/>
      <c r="E9" s="549"/>
      <c r="F9" s="549"/>
      <c r="G9" s="549"/>
      <c r="H9" s="549"/>
      <c r="I9" s="549"/>
      <c r="J9" s="549"/>
      <c r="K9" s="549"/>
      <c r="L9" s="549"/>
      <c r="M9" s="549"/>
      <c r="N9" s="549"/>
      <c r="O9" s="549"/>
      <c r="P9" s="549"/>
      <c r="Q9" s="549"/>
      <c r="R9" s="549"/>
      <c r="S9" s="549"/>
      <c r="T9" s="549"/>
      <c r="U9" s="549"/>
      <c r="V9" s="549"/>
      <c r="W9" s="549"/>
      <c r="X9" s="549"/>
      <c r="Y9" s="549"/>
      <c r="Z9" s="550"/>
      <c r="AA9" s="27" t="s">
        <v>67</v>
      </c>
      <c r="AB9" s="28" t="s">
        <v>68</v>
      </c>
      <c r="AC9" s="27" t="s">
        <v>69</v>
      </c>
      <c r="AD9" s="27" t="s">
        <v>70</v>
      </c>
      <c r="AE9" s="7"/>
    </row>
    <row r="10" spans="1:31" ht="13.5" thickBot="1" x14ac:dyDescent="0.25">
      <c r="A10" s="3"/>
      <c r="B10" s="29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2"/>
      <c r="AA10" s="33"/>
      <c r="AB10" s="34"/>
      <c r="AC10" s="33"/>
      <c r="AD10" s="35"/>
      <c r="AE10" s="7"/>
    </row>
    <row r="11" spans="1:31" ht="13.5" thickTop="1" x14ac:dyDescent="0.2">
      <c r="A11" s="3"/>
      <c r="B11" s="3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7"/>
      <c r="AB11" s="38"/>
      <c r="AC11" s="37"/>
      <c r="AD11" s="39"/>
      <c r="AE11" s="7"/>
    </row>
    <row r="12" spans="1:31" ht="13.5" thickBot="1" x14ac:dyDescent="0.25">
      <c r="A12" s="3"/>
      <c r="B12" s="26" t="s">
        <v>9</v>
      </c>
      <c r="C12" s="18"/>
      <c r="D12" s="18" t="s">
        <v>71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7"/>
      <c r="AB12" s="38"/>
      <c r="AC12" s="37"/>
      <c r="AD12" s="39"/>
      <c r="AE12" s="7"/>
    </row>
    <row r="13" spans="1:31" ht="13.5" thickBot="1" x14ac:dyDescent="0.25">
      <c r="A13" s="3"/>
      <c r="B13" s="36" t="s">
        <v>72</v>
      </c>
      <c r="C13" s="3"/>
      <c r="D13" s="3" t="s">
        <v>73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551" t="s">
        <v>74</v>
      </c>
      <c r="AB13" s="552"/>
      <c r="AC13" s="553"/>
      <c r="AD13" s="39"/>
      <c r="AE13" s="7"/>
    </row>
    <row r="14" spans="1:31" x14ac:dyDescent="0.2">
      <c r="A14" s="3"/>
      <c r="B14" s="36" t="s">
        <v>75</v>
      </c>
      <c r="C14" s="3"/>
      <c r="D14" s="3" t="s">
        <v>57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7" t="s">
        <v>76</v>
      </c>
      <c r="AB14" s="38">
        <v>138</v>
      </c>
      <c r="AC14" s="37" t="s">
        <v>77</v>
      </c>
      <c r="AD14" s="39"/>
      <c r="AE14" s="7"/>
    </row>
    <row r="15" spans="1:31" x14ac:dyDescent="0.2">
      <c r="A15" s="3"/>
      <c r="B15" s="36" t="s">
        <v>78</v>
      </c>
      <c r="C15" s="3"/>
      <c r="D15" s="3" t="s">
        <v>79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7" t="s">
        <v>80</v>
      </c>
      <c r="AB15" s="38">
        <v>15</v>
      </c>
      <c r="AC15" s="37" t="s">
        <v>81</v>
      </c>
      <c r="AD15" s="39"/>
      <c r="AE15" s="7"/>
    </row>
    <row r="16" spans="1:31" x14ac:dyDescent="0.2">
      <c r="A16" s="3"/>
      <c r="B16" s="36" t="s">
        <v>82</v>
      </c>
      <c r="C16" s="3"/>
      <c r="D16" s="3" t="s">
        <v>83</v>
      </c>
      <c r="E16" s="3"/>
      <c r="F16" s="3"/>
      <c r="G16" s="3"/>
      <c r="H16" s="3"/>
      <c r="I16" s="3"/>
      <c r="J16" s="3"/>
      <c r="K16" s="3"/>
      <c r="L16" s="3" t="s">
        <v>0</v>
      </c>
      <c r="M16" s="3" t="s">
        <v>38</v>
      </c>
      <c r="N16" s="3" t="s">
        <v>84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7" t="s">
        <v>24</v>
      </c>
      <c r="AB16" s="38">
        <v>5</v>
      </c>
      <c r="AC16" s="37" t="s">
        <v>85</v>
      </c>
      <c r="AD16" s="39"/>
      <c r="AE16" s="7"/>
    </row>
    <row r="17" spans="1:33" x14ac:dyDescent="0.2">
      <c r="A17" s="3"/>
      <c r="B17" s="36"/>
      <c r="C17" s="3"/>
      <c r="D17" s="3"/>
      <c r="E17" s="3"/>
      <c r="F17" s="3"/>
      <c r="G17" s="3"/>
      <c r="H17" s="3"/>
      <c r="I17" s="3"/>
      <c r="J17" s="3"/>
      <c r="K17" s="3"/>
      <c r="L17" s="3"/>
      <c r="M17" s="3" t="s">
        <v>39</v>
      </c>
      <c r="N17" s="3" t="s">
        <v>86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7" t="s">
        <v>87</v>
      </c>
      <c r="AB17" s="38">
        <v>2000</v>
      </c>
      <c r="AC17" s="37" t="s">
        <v>54</v>
      </c>
      <c r="AD17" s="39"/>
      <c r="AE17" s="7"/>
    </row>
    <row r="18" spans="1:33" x14ac:dyDescent="0.2">
      <c r="A18" s="3"/>
      <c r="B18" s="36"/>
      <c r="C18" s="3"/>
      <c r="D18" s="3"/>
      <c r="E18" s="3"/>
      <c r="F18" s="3"/>
      <c r="G18" s="3"/>
      <c r="H18" s="3"/>
      <c r="I18" s="3"/>
      <c r="J18" s="3"/>
      <c r="K18" s="3"/>
      <c r="L18" s="3"/>
      <c r="M18" s="3" t="s">
        <v>58</v>
      </c>
      <c r="N18" s="3" t="s">
        <v>88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7" t="s">
        <v>33</v>
      </c>
      <c r="AB18" s="38">
        <v>1163000000</v>
      </c>
      <c r="AC18" s="37" t="s">
        <v>89</v>
      </c>
      <c r="AD18" s="39"/>
      <c r="AE18" s="7"/>
    </row>
    <row r="19" spans="1:33" x14ac:dyDescent="0.2">
      <c r="A19" s="3"/>
      <c r="B19" s="36" t="s">
        <v>90</v>
      </c>
      <c r="C19" s="3"/>
      <c r="D19" s="3" t="s">
        <v>91</v>
      </c>
      <c r="E19" s="3"/>
      <c r="F19" s="3"/>
      <c r="G19" s="3"/>
      <c r="H19" s="3"/>
      <c r="I19" s="3"/>
      <c r="J19" s="3"/>
      <c r="K19" s="3"/>
      <c r="L19" s="3" t="s">
        <v>0</v>
      </c>
      <c r="M19" s="3" t="s">
        <v>38</v>
      </c>
      <c r="N19" s="3" t="s">
        <v>84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7" t="s">
        <v>92</v>
      </c>
      <c r="AB19" s="38">
        <f>+AB16</f>
        <v>5</v>
      </c>
      <c r="AC19" s="37" t="s">
        <v>85</v>
      </c>
      <c r="AD19" s="39"/>
      <c r="AE19" s="7"/>
    </row>
    <row r="20" spans="1:33" x14ac:dyDescent="0.2">
      <c r="A20" s="3"/>
      <c r="B20" s="36"/>
      <c r="C20" s="3"/>
      <c r="D20" s="3"/>
      <c r="E20" s="3"/>
      <c r="F20" s="3"/>
      <c r="G20" s="3"/>
      <c r="H20" s="3"/>
      <c r="I20" s="3"/>
      <c r="J20" s="3"/>
      <c r="K20" s="3"/>
      <c r="L20" s="3"/>
      <c r="M20" s="3" t="s">
        <v>39</v>
      </c>
      <c r="N20" s="3" t="s">
        <v>86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7" t="s">
        <v>93</v>
      </c>
      <c r="AB20" s="38">
        <f>+AB17</f>
        <v>2000</v>
      </c>
      <c r="AC20" s="37" t="s">
        <v>54</v>
      </c>
      <c r="AD20" s="39"/>
      <c r="AE20" s="7"/>
    </row>
    <row r="21" spans="1:33" ht="14.25" x14ac:dyDescent="0.2">
      <c r="A21" s="3"/>
      <c r="B21" s="36"/>
      <c r="C21" s="3"/>
      <c r="D21" s="3"/>
      <c r="E21" s="3"/>
      <c r="F21" s="3"/>
      <c r="G21" s="3"/>
      <c r="H21" s="3"/>
      <c r="I21" s="3"/>
      <c r="J21" s="3"/>
      <c r="K21" s="3"/>
      <c r="L21" s="3"/>
      <c r="M21" s="3" t="s">
        <v>58</v>
      </c>
      <c r="N21" s="3" t="s">
        <v>94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7" t="s">
        <v>95</v>
      </c>
      <c r="AB21" s="38">
        <f>+AB18</f>
        <v>1163000000</v>
      </c>
      <c r="AC21" s="37" t="s">
        <v>89</v>
      </c>
      <c r="AD21" s="39"/>
      <c r="AE21" s="7"/>
    </row>
    <row r="22" spans="1:33" x14ac:dyDescent="0.2">
      <c r="A22" s="3"/>
      <c r="B22" s="3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7"/>
      <c r="AB22" s="38"/>
      <c r="AC22" s="37"/>
      <c r="AD22" s="39"/>
      <c r="AE22" s="7"/>
    </row>
    <row r="23" spans="1:33" x14ac:dyDescent="0.2">
      <c r="A23" s="3"/>
      <c r="B23" s="26" t="s">
        <v>4</v>
      </c>
      <c r="C23" s="3"/>
      <c r="D23" s="18" t="s">
        <v>96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7"/>
      <c r="AB23" s="38"/>
      <c r="AC23" s="37"/>
      <c r="AD23" s="39"/>
      <c r="AE23" s="7"/>
    </row>
    <row r="24" spans="1:33" x14ac:dyDescent="0.2">
      <c r="A24" s="3"/>
      <c r="B24" s="36" t="s">
        <v>72</v>
      </c>
      <c r="C24" s="3"/>
      <c r="D24" s="3" t="s">
        <v>97</v>
      </c>
      <c r="E24" s="3"/>
      <c r="F24" s="3"/>
      <c r="G24" s="3"/>
      <c r="H24" s="3"/>
      <c r="I24" s="3"/>
      <c r="J24" s="3"/>
      <c r="K24" s="3"/>
      <c r="L24" s="3"/>
      <c r="M24" s="3" t="s">
        <v>98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7" t="s">
        <v>34</v>
      </c>
      <c r="AB24" s="38">
        <f>0.1*AB21</f>
        <v>116300000</v>
      </c>
      <c r="AC24" s="37" t="s">
        <v>89</v>
      </c>
      <c r="AD24" s="39"/>
      <c r="AE24" s="7"/>
    </row>
    <row r="25" spans="1:33" x14ac:dyDescent="0.2">
      <c r="A25" s="3"/>
      <c r="B25" s="3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7"/>
      <c r="AB25" s="38"/>
      <c r="AC25" s="37"/>
      <c r="AD25" s="39"/>
      <c r="AE25" s="7"/>
      <c r="AG25" s="40">
        <f>AB59/100</f>
        <v>0.2</v>
      </c>
    </row>
    <row r="26" spans="1:33" ht="14.25" x14ac:dyDescent="0.2">
      <c r="A26" s="3"/>
      <c r="B26" s="36" t="s">
        <v>75</v>
      </c>
      <c r="C26" s="3"/>
      <c r="D26" s="3" t="s">
        <v>99</v>
      </c>
      <c r="E26" s="3"/>
      <c r="F26" s="3"/>
      <c r="G26" s="3"/>
      <c r="H26" s="3"/>
      <c r="I26" s="3"/>
      <c r="J26" s="3"/>
      <c r="K26" s="3"/>
      <c r="L26" s="3"/>
      <c r="M26" s="3"/>
      <c r="N26" s="3" t="s">
        <v>100</v>
      </c>
      <c r="O26" s="543" t="s">
        <v>101</v>
      </c>
      <c r="P26" s="543"/>
      <c r="Q26" s="543"/>
      <c r="R26" s="543"/>
      <c r="S26" s="543"/>
      <c r="T26" s="543"/>
      <c r="U26" s="3"/>
      <c r="V26" s="3"/>
      <c r="W26" s="3"/>
      <c r="X26" s="3"/>
      <c r="Y26" s="3"/>
      <c r="Z26" s="3"/>
      <c r="AA26" s="37" t="s">
        <v>35</v>
      </c>
      <c r="AB26" s="41">
        <f>AG26/AG27</f>
        <v>0.33437970328961514</v>
      </c>
      <c r="AC26" s="37"/>
      <c r="AD26" s="39"/>
      <c r="AE26" s="7"/>
      <c r="AG26" s="40">
        <f>AG25*((1+AG25)^AB19)</f>
        <v>0.497664</v>
      </c>
    </row>
    <row r="27" spans="1:33" ht="14.25" x14ac:dyDescent="0.2">
      <c r="A27" s="3"/>
      <c r="B27" s="3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544" t="s">
        <v>102</v>
      </c>
      <c r="P27" s="544"/>
      <c r="Q27" s="544"/>
      <c r="R27" s="544"/>
      <c r="S27" s="544"/>
      <c r="T27" s="544"/>
      <c r="U27" s="3"/>
      <c r="V27" s="3"/>
      <c r="W27" s="3"/>
      <c r="X27" s="3"/>
      <c r="Y27" s="3"/>
      <c r="Z27" s="3"/>
      <c r="AA27" s="37"/>
      <c r="AB27" s="38"/>
      <c r="AC27" s="37"/>
      <c r="AD27" s="39"/>
      <c r="AE27" s="7"/>
      <c r="AG27" s="40">
        <f>((1+AG25)^AB19)-1</f>
        <v>1.4883199999999999</v>
      </c>
    </row>
    <row r="28" spans="1:33" x14ac:dyDescent="0.2">
      <c r="A28" s="3"/>
      <c r="B28" s="3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7"/>
      <c r="AB28" s="38"/>
      <c r="AC28" s="37"/>
      <c r="AD28" s="39"/>
      <c r="AE28" s="7"/>
    </row>
    <row r="29" spans="1:33" x14ac:dyDescent="0.2">
      <c r="A29" s="3"/>
      <c r="B29" s="36" t="s">
        <v>78</v>
      </c>
      <c r="C29" s="3"/>
      <c r="D29" s="3" t="s">
        <v>103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7"/>
      <c r="AB29" s="38"/>
      <c r="AC29" s="37"/>
      <c r="AD29" s="39"/>
      <c r="AE29" s="7"/>
    </row>
    <row r="30" spans="1:33" x14ac:dyDescent="0.2">
      <c r="A30" s="3"/>
      <c r="B30" s="36"/>
      <c r="C30" s="3"/>
      <c r="D30" s="3" t="s">
        <v>38</v>
      </c>
      <c r="E30" s="3" t="s">
        <v>104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 t="s">
        <v>100</v>
      </c>
      <c r="Q30" s="543" t="s">
        <v>105</v>
      </c>
      <c r="R30" s="543"/>
      <c r="S30" s="543"/>
      <c r="T30" s="543"/>
      <c r="U30" s="543"/>
      <c r="V30" s="543"/>
      <c r="W30" s="5"/>
      <c r="X30" s="5"/>
      <c r="Y30" s="3"/>
      <c r="Z30" s="3"/>
      <c r="AA30" s="37" t="s">
        <v>12</v>
      </c>
      <c r="AB30" s="38">
        <f>((AB21-AB24)*AB26)/AB20</f>
        <v>174997.61771662009</v>
      </c>
      <c r="AC30" s="37" t="s">
        <v>89</v>
      </c>
      <c r="AD30" s="39"/>
      <c r="AE30" s="7"/>
    </row>
    <row r="31" spans="1:33" x14ac:dyDescent="0.2">
      <c r="A31" s="3"/>
      <c r="B31" s="3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545" t="s">
        <v>93</v>
      </c>
      <c r="R31" s="545"/>
      <c r="S31" s="545"/>
      <c r="T31" s="545"/>
      <c r="U31" s="545"/>
      <c r="V31" s="545"/>
      <c r="W31" s="5"/>
      <c r="X31" s="5"/>
      <c r="Y31" s="3"/>
      <c r="Z31" s="3"/>
      <c r="AA31" s="37"/>
      <c r="AB31" s="38"/>
      <c r="AC31" s="37"/>
      <c r="AD31" s="39"/>
      <c r="AE31" s="7"/>
    </row>
    <row r="32" spans="1:33" x14ac:dyDescent="0.2">
      <c r="A32" s="3"/>
      <c r="B32" s="36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7"/>
      <c r="AB32" s="38"/>
      <c r="AC32" s="37"/>
      <c r="AD32" s="39"/>
      <c r="AE32" s="7"/>
    </row>
    <row r="33" spans="1:33" x14ac:dyDescent="0.2">
      <c r="A33" s="3"/>
      <c r="B33" s="36"/>
      <c r="C33" s="3"/>
      <c r="D33" s="3" t="s">
        <v>39</v>
      </c>
      <c r="E33" s="3" t="s">
        <v>106</v>
      </c>
      <c r="F33" s="3"/>
      <c r="G33" s="3"/>
      <c r="H33" s="3"/>
      <c r="I33" s="3"/>
      <c r="J33" s="3"/>
      <c r="K33" s="3" t="s">
        <v>100</v>
      </c>
      <c r="L33" s="543" t="s">
        <v>107</v>
      </c>
      <c r="M33" s="543"/>
      <c r="N33" s="543"/>
      <c r="O33" s="543"/>
      <c r="P33" s="543"/>
      <c r="Q33" s="42"/>
      <c r="R33" s="3"/>
      <c r="S33" s="3"/>
      <c r="T33" s="3"/>
      <c r="U33" s="3"/>
      <c r="V33" s="3"/>
      <c r="W33" s="3"/>
      <c r="X33" s="3"/>
      <c r="Y33" s="3"/>
      <c r="Z33" s="3"/>
      <c r="AA33" s="37" t="s">
        <v>13</v>
      </c>
      <c r="AB33" s="38">
        <f>(0.002*AB21)/AB20</f>
        <v>1163</v>
      </c>
      <c r="AC33" s="37"/>
      <c r="AD33" s="39"/>
      <c r="AE33" s="7"/>
    </row>
    <row r="34" spans="1:33" x14ac:dyDescent="0.2">
      <c r="A34" s="3"/>
      <c r="B34" s="36"/>
      <c r="C34" s="3"/>
      <c r="D34" s="3"/>
      <c r="E34" s="3"/>
      <c r="F34" s="3"/>
      <c r="G34" s="3"/>
      <c r="H34" s="3"/>
      <c r="I34" s="3"/>
      <c r="J34" s="3"/>
      <c r="K34" s="3"/>
      <c r="L34" s="545" t="s">
        <v>93</v>
      </c>
      <c r="M34" s="545"/>
      <c r="N34" s="545"/>
      <c r="O34" s="545"/>
      <c r="P34" s="545"/>
      <c r="Q34" s="3"/>
      <c r="R34" s="3"/>
      <c r="S34" s="3"/>
      <c r="T34" s="3"/>
      <c r="U34" s="3"/>
      <c r="V34" s="3"/>
      <c r="W34" s="3"/>
      <c r="X34" s="3"/>
      <c r="Y34" s="3"/>
      <c r="Z34" s="3"/>
      <c r="AA34" s="37"/>
      <c r="AB34" s="38"/>
      <c r="AC34" s="37"/>
      <c r="AD34" s="39"/>
      <c r="AE34" s="7"/>
    </row>
    <row r="35" spans="1:33" x14ac:dyDescent="0.2">
      <c r="A35" s="3"/>
      <c r="B35" s="3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7"/>
      <c r="AB35" s="38"/>
      <c r="AC35" s="37"/>
      <c r="AD35" s="39"/>
      <c r="AE35" s="7"/>
    </row>
    <row r="36" spans="1:33" x14ac:dyDescent="0.2">
      <c r="A36" s="3"/>
      <c r="B36" s="36"/>
      <c r="C36" s="3"/>
      <c r="D36" s="3" t="s">
        <v>108</v>
      </c>
      <c r="E36" s="3"/>
      <c r="F36" s="3"/>
      <c r="G36" s="3"/>
      <c r="H36" s="3"/>
      <c r="I36" s="3"/>
      <c r="J36" s="3"/>
      <c r="K36" s="3"/>
      <c r="L36" s="3"/>
      <c r="M36" s="3" t="s">
        <v>100</v>
      </c>
      <c r="N36" s="3" t="s">
        <v>109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7" t="s">
        <v>14</v>
      </c>
      <c r="AB36" s="38">
        <f>AB30+AB33</f>
        <v>176160.61771662009</v>
      </c>
      <c r="AC36" s="37" t="s">
        <v>89</v>
      </c>
      <c r="AD36" s="39"/>
      <c r="AE36" s="7"/>
    </row>
    <row r="37" spans="1:33" x14ac:dyDescent="0.2">
      <c r="A37" s="3"/>
      <c r="B37" s="3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7"/>
      <c r="AB37" s="38"/>
      <c r="AC37" s="37"/>
      <c r="AD37" s="39"/>
      <c r="AE37" s="7"/>
    </row>
    <row r="38" spans="1:33" x14ac:dyDescent="0.2">
      <c r="A38" s="3"/>
      <c r="B38" s="26" t="s">
        <v>10</v>
      </c>
      <c r="C38" s="3"/>
      <c r="D38" s="18" t="s">
        <v>110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7"/>
      <c r="AB38" s="38"/>
      <c r="AC38" s="37"/>
      <c r="AD38" s="39"/>
      <c r="AE38" s="7"/>
    </row>
    <row r="39" spans="1:33" x14ac:dyDescent="0.2">
      <c r="A39" s="3"/>
      <c r="B39" s="3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7"/>
      <c r="AB39" s="38"/>
      <c r="AC39" s="37"/>
      <c r="AD39" s="39"/>
      <c r="AE39" s="7"/>
    </row>
    <row r="40" spans="1:33" x14ac:dyDescent="0.2">
      <c r="A40" s="3"/>
      <c r="B40" s="36" t="s">
        <v>72</v>
      </c>
      <c r="C40" s="3"/>
      <c r="D40" s="3" t="s">
        <v>111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7" t="s">
        <v>15</v>
      </c>
      <c r="AB40" s="38">
        <f>0.12*AB14*AB63</f>
        <v>182160</v>
      </c>
      <c r="AC40" s="37" t="s">
        <v>89</v>
      </c>
      <c r="AD40" s="39"/>
      <c r="AE40" s="7"/>
    </row>
    <row r="41" spans="1:33" x14ac:dyDescent="0.2">
      <c r="A41" s="3"/>
      <c r="B41" s="36"/>
      <c r="C41" s="3"/>
      <c r="D41" s="4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7"/>
      <c r="AB41" s="38"/>
      <c r="AC41" s="37"/>
      <c r="AD41" s="39"/>
      <c r="AE41" s="7"/>
    </row>
    <row r="42" spans="1:33" x14ac:dyDescent="0.2">
      <c r="A42" s="3"/>
      <c r="B42" s="36" t="s">
        <v>75</v>
      </c>
      <c r="C42" s="3"/>
      <c r="D42" s="3" t="s">
        <v>112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7" t="s">
        <v>42</v>
      </c>
      <c r="AB42" s="38">
        <f>0.025*AB14*AB64</f>
        <v>87285</v>
      </c>
      <c r="AC42" s="37" t="s">
        <v>89</v>
      </c>
      <c r="AD42" s="39"/>
      <c r="AE42" s="7"/>
      <c r="AG42" s="44">
        <f>0.0875*AB21/2000</f>
        <v>50881.25</v>
      </c>
    </row>
    <row r="43" spans="1:33" x14ac:dyDescent="0.2">
      <c r="A43" s="3"/>
      <c r="B43" s="3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7"/>
      <c r="AB43" s="38"/>
      <c r="AC43" s="37"/>
      <c r="AD43" s="39"/>
      <c r="AE43" s="7"/>
    </row>
    <row r="44" spans="1:33" x14ac:dyDescent="0.2">
      <c r="A44" s="3"/>
      <c r="B44" s="36" t="s">
        <v>78</v>
      </c>
      <c r="C44" s="3"/>
      <c r="D44" s="3" t="s">
        <v>113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543" t="s">
        <v>114</v>
      </c>
      <c r="P44" s="543"/>
      <c r="Q44" s="543"/>
      <c r="R44" s="543"/>
      <c r="S44" s="543"/>
      <c r="T44" s="543"/>
      <c r="U44" s="543"/>
      <c r="V44" s="543"/>
      <c r="W44" s="543"/>
      <c r="X44" s="42"/>
      <c r="Y44" s="42"/>
      <c r="Z44" s="3"/>
      <c r="AA44" s="37" t="s">
        <v>115</v>
      </c>
      <c r="AB44" s="38">
        <f>(0.125*AB21)/AB20</f>
        <v>72687.5</v>
      </c>
      <c r="AC44" s="37" t="s">
        <v>89</v>
      </c>
      <c r="AD44" s="39"/>
      <c r="AE44" s="7"/>
    </row>
    <row r="45" spans="1:33" x14ac:dyDescent="0.2">
      <c r="A45" s="3"/>
      <c r="B45" s="3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544" t="s">
        <v>93</v>
      </c>
      <c r="P45" s="544"/>
      <c r="Q45" s="544"/>
      <c r="R45" s="544"/>
      <c r="S45" s="544"/>
      <c r="T45" s="544"/>
      <c r="U45" s="544"/>
      <c r="V45" s="544"/>
      <c r="W45" s="544"/>
      <c r="X45" s="42"/>
      <c r="Y45" s="42"/>
      <c r="Z45" s="3"/>
      <c r="AA45" s="37"/>
      <c r="AB45" s="38"/>
      <c r="AC45" s="37"/>
      <c r="AD45" s="39"/>
      <c r="AE45" s="7"/>
    </row>
    <row r="46" spans="1:33" x14ac:dyDescent="0.2">
      <c r="A46" s="3"/>
      <c r="B46" s="3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5"/>
      <c r="P46" s="5"/>
      <c r="Q46" s="5"/>
      <c r="R46" s="5"/>
      <c r="S46" s="5"/>
      <c r="T46" s="5"/>
      <c r="U46" s="5"/>
      <c r="V46" s="5"/>
      <c r="W46" s="5"/>
      <c r="X46" s="42"/>
      <c r="Y46" s="42"/>
      <c r="Z46" s="3"/>
      <c r="AA46" s="37"/>
      <c r="AB46" s="38"/>
      <c r="AC46" s="37"/>
      <c r="AD46" s="39"/>
      <c r="AE46" s="7"/>
    </row>
    <row r="47" spans="1:33" x14ac:dyDescent="0.2">
      <c r="A47" s="3"/>
      <c r="B47" s="36" t="s">
        <v>90</v>
      </c>
      <c r="C47" s="3"/>
      <c r="D47" s="45" t="s">
        <v>116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543" t="s">
        <v>117</v>
      </c>
      <c r="P47" s="543"/>
      <c r="Q47" s="543"/>
      <c r="R47" s="543"/>
      <c r="S47" s="543"/>
      <c r="T47" s="543"/>
      <c r="U47" s="543"/>
      <c r="V47" s="543"/>
      <c r="W47" s="543"/>
      <c r="X47" s="42"/>
      <c r="Y47" s="42"/>
      <c r="Z47" s="3"/>
      <c r="AA47" s="37" t="s">
        <v>55</v>
      </c>
      <c r="AB47" s="38">
        <f>(0.0875*AB18)/AB20</f>
        <v>50881.25</v>
      </c>
      <c r="AC47" s="37" t="s">
        <v>89</v>
      </c>
      <c r="AD47" s="39"/>
      <c r="AE47" s="7"/>
    </row>
    <row r="48" spans="1:33" x14ac:dyDescent="0.2">
      <c r="A48" s="3"/>
      <c r="B48" s="3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544" t="s">
        <v>93</v>
      </c>
      <c r="P48" s="544"/>
      <c r="Q48" s="544"/>
      <c r="R48" s="544"/>
      <c r="S48" s="544"/>
      <c r="T48" s="544"/>
      <c r="U48" s="544"/>
      <c r="V48" s="544"/>
      <c r="W48" s="544"/>
      <c r="X48" s="42"/>
      <c r="Y48" s="42"/>
      <c r="Z48" s="3"/>
      <c r="AA48" s="37"/>
      <c r="AB48" s="38"/>
      <c r="AC48" s="37"/>
      <c r="AD48" s="39"/>
      <c r="AE48" s="7"/>
    </row>
    <row r="49" spans="1:33" x14ac:dyDescent="0.2">
      <c r="A49" s="3"/>
      <c r="B49" s="3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7"/>
      <c r="AB49" s="38"/>
      <c r="AC49" s="37"/>
      <c r="AD49" s="39"/>
      <c r="AE49" s="7"/>
    </row>
    <row r="50" spans="1:33" x14ac:dyDescent="0.2">
      <c r="A50" s="3"/>
      <c r="B50" s="36" t="s">
        <v>118</v>
      </c>
      <c r="C50" s="3"/>
      <c r="D50" s="3" t="s">
        <v>119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7" t="s">
        <v>43</v>
      </c>
      <c r="AB50" s="38">
        <f>1*AB60</f>
        <v>9000</v>
      </c>
      <c r="AC50" s="37" t="s">
        <v>89</v>
      </c>
      <c r="AD50" s="39"/>
      <c r="AE50" s="7"/>
    </row>
    <row r="51" spans="1:33" x14ac:dyDescent="0.2">
      <c r="A51" s="3"/>
      <c r="B51" s="36" t="s">
        <v>120</v>
      </c>
      <c r="C51" s="3"/>
      <c r="D51" s="3" t="s">
        <v>121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7" t="s">
        <v>122</v>
      </c>
      <c r="AB51" s="38">
        <f>1*AB61</f>
        <v>9714.2857142857138</v>
      </c>
      <c r="AC51" s="37" t="s">
        <v>89</v>
      </c>
      <c r="AD51" s="39"/>
      <c r="AE51" s="7"/>
    </row>
    <row r="52" spans="1:33" x14ac:dyDescent="0.2">
      <c r="A52" s="3"/>
      <c r="B52" s="3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7"/>
      <c r="AB52" s="38"/>
      <c r="AC52" s="37"/>
      <c r="AD52" s="39"/>
      <c r="AE52" s="7"/>
    </row>
    <row r="53" spans="1:33" x14ac:dyDescent="0.2">
      <c r="A53" s="3"/>
      <c r="B53" s="36"/>
      <c r="C53" s="3"/>
      <c r="D53" s="3" t="s">
        <v>123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7" t="s">
        <v>124</v>
      </c>
      <c r="AB53" s="38">
        <f>AB40+AB42+AB44+AB50+AB51+AB47</f>
        <v>411728.03571428574</v>
      </c>
      <c r="AC53" s="37" t="s">
        <v>89</v>
      </c>
      <c r="AD53" s="39"/>
      <c r="AE53" s="7"/>
    </row>
    <row r="54" spans="1:33" ht="13.5" thickBot="1" x14ac:dyDescent="0.25">
      <c r="A54" s="3"/>
      <c r="B54" s="3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7"/>
      <c r="AB54" s="38"/>
      <c r="AC54" s="37"/>
      <c r="AD54" s="39"/>
      <c r="AE54" s="7"/>
    </row>
    <row r="55" spans="1:33" ht="13.5" thickBot="1" x14ac:dyDescent="0.25">
      <c r="A55" s="3"/>
      <c r="B55" s="26" t="s">
        <v>11</v>
      </c>
      <c r="C55" s="3"/>
      <c r="D55" s="18" t="s">
        <v>125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46" t="s">
        <v>126</v>
      </c>
      <c r="AB55" s="47">
        <f>AB36+AB53</f>
        <v>587888.65343090589</v>
      </c>
      <c r="AC55" s="46" t="s">
        <v>89</v>
      </c>
      <c r="AD55" s="39"/>
      <c r="AE55" s="7"/>
      <c r="AG55" s="44"/>
    </row>
    <row r="56" spans="1:33" x14ac:dyDescent="0.2">
      <c r="A56" s="3"/>
      <c r="B56" s="3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7"/>
      <c r="AB56" s="38"/>
      <c r="AC56" s="37"/>
      <c r="AD56" s="39"/>
      <c r="AE56" s="7"/>
      <c r="AG56" s="48"/>
    </row>
    <row r="57" spans="1:33" x14ac:dyDescent="0.2">
      <c r="A57" s="3"/>
      <c r="B57" s="3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7"/>
      <c r="AB57" s="38"/>
      <c r="AC57" s="37"/>
      <c r="AD57" s="39"/>
      <c r="AE57" s="7"/>
      <c r="AG57" s="48"/>
    </row>
    <row r="58" spans="1:33" x14ac:dyDescent="0.2">
      <c r="A58" s="3"/>
      <c r="B58" s="26" t="s">
        <v>16</v>
      </c>
      <c r="C58" s="18"/>
      <c r="D58" s="18" t="s">
        <v>127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7"/>
      <c r="AB58" s="38"/>
      <c r="AC58" s="37"/>
      <c r="AD58" s="39"/>
      <c r="AE58" s="7"/>
    </row>
    <row r="59" spans="1:33" x14ac:dyDescent="0.2">
      <c r="A59" s="3"/>
      <c r="B59" s="36" t="s">
        <v>72</v>
      </c>
      <c r="C59" s="3"/>
      <c r="D59" s="3" t="s">
        <v>128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7" t="s">
        <v>129</v>
      </c>
      <c r="AB59" s="38">
        <v>20</v>
      </c>
      <c r="AC59" s="37" t="s">
        <v>130</v>
      </c>
      <c r="AD59" s="39"/>
      <c r="AE59" s="7"/>
    </row>
    <row r="60" spans="1:33" x14ac:dyDescent="0.2">
      <c r="A60" s="3"/>
      <c r="B60" s="36" t="s">
        <v>75</v>
      </c>
      <c r="C60" s="3"/>
      <c r="D60" s="3" t="s">
        <v>131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7" t="s">
        <v>132</v>
      </c>
      <c r="AB60" s="38">
        <f>'[14]Daftar Upah'!$F$17/7</f>
        <v>9000</v>
      </c>
      <c r="AC60" s="37" t="s">
        <v>133</v>
      </c>
      <c r="AD60" s="39"/>
      <c r="AE60" s="7"/>
    </row>
    <row r="61" spans="1:33" x14ac:dyDescent="0.2">
      <c r="A61" s="3"/>
      <c r="B61" s="36" t="s">
        <v>78</v>
      </c>
      <c r="C61" s="3"/>
      <c r="D61" s="3" t="s">
        <v>134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7" t="s">
        <v>135</v>
      </c>
      <c r="AB61" s="38">
        <f>'[14]Daftar Upah'!$F$16/7</f>
        <v>9714.2857142857138</v>
      </c>
      <c r="AC61" s="37" t="s">
        <v>133</v>
      </c>
      <c r="AD61" s="39"/>
      <c r="AE61" s="7"/>
    </row>
    <row r="62" spans="1:33" x14ac:dyDescent="0.2">
      <c r="A62" s="3"/>
      <c r="B62" s="36" t="s">
        <v>82</v>
      </c>
      <c r="C62" s="3"/>
      <c r="D62" s="3" t="s">
        <v>136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7" t="s">
        <v>137</v>
      </c>
      <c r="AB62" s="38">
        <f>AB63</f>
        <v>11000</v>
      </c>
      <c r="AC62" s="37" t="s">
        <v>40</v>
      </c>
      <c r="AD62" s="39"/>
      <c r="AE62" s="7"/>
    </row>
    <row r="63" spans="1:33" x14ac:dyDescent="0.2">
      <c r="A63" s="3"/>
      <c r="B63" s="36" t="s">
        <v>90</v>
      </c>
      <c r="C63" s="3"/>
      <c r="D63" s="3" t="s">
        <v>138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7" t="s">
        <v>139</v>
      </c>
      <c r="AB63" s="38">
        <f>'[14]Daftar Bahan'!$G$11</f>
        <v>11000</v>
      </c>
      <c r="AC63" s="37" t="s">
        <v>40</v>
      </c>
      <c r="AD63" s="39"/>
      <c r="AE63" s="7"/>
    </row>
    <row r="64" spans="1:33" x14ac:dyDescent="0.2">
      <c r="A64" s="3"/>
      <c r="B64" s="36" t="s">
        <v>118</v>
      </c>
      <c r="C64" s="3"/>
      <c r="D64" s="3" t="s">
        <v>53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7" t="s">
        <v>140</v>
      </c>
      <c r="AB64" s="38">
        <f>'[14]Daftar Bahan'!$G$12</f>
        <v>25300</v>
      </c>
      <c r="AC64" s="37" t="s">
        <v>40</v>
      </c>
      <c r="AD64" s="39"/>
      <c r="AE64" s="7"/>
    </row>
    <row r="65" spans="1:31" x14ac:dyDescent="0.2">
      <c r="A65" s="3"/>
      <c r="B65" s="36" t="s">
        <v>120</v>
      </c>
      <c r="C65" s="3"/>
      <c r="D65" s="3" t="s">
        <v>141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7"/>
      <c r="AB65" s="38"/>
      <c r="AC65" s="37"/>
      <c r="AD65" s="39"/>
      <c r="AE65" s="7"/>
    </row>
    <row r="66" spans="1:31" x14ac:dyDescent="0.2">
      <c r="A66" s="3"/>
      <c r="B66" s="36"/>
      <c r="C66" s="3"/>
      <c r="D66" s="3" t="s">
        <v>142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7"/>
      <c r="AB66" s="38"/>
      <c r="AC66" s="37"/>
      <c r="AD66" s="39"/>
      <c r="AE66" s="7"/>
    </row>
    <row r="67" spans="1:31" x14ac:dyDescent="0.2">
      <c r="A67" s="3"/>
      <c r="B67" s="49"/>
      <c r="C67" s="50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2"/>
      <c r="AA67" s="53"/>
      <c r="AB67" s="54"/>
      <c r="AC67" s="53"/>
      <c r="AD67" s="55"/>
      <c r="AE67" s="7"/>
    </row>
    <row r="68" spans="1:31" x14ac:dyDescent="0.2">
      <c r="A68" s="7"/>
      <c r="B68" s="56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57"/>
      <c r="AB68" s="58"/>
      <c r="AC68" s="57"/>
      <c r="AD68" s="7"/>
      <c r="AE68" s="7"/>
    </row>
    <row r="69" spans="1:31" x14ac:dyDescent="0.2">
      <c r="A69" s="7"/>
      <c r="B69" s="56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57"/>
      <c r="AB69" s="59"/>
      <c r="AC69" s="59"/>
      <c r="AD69" s="7"/>
      <c r="AE69" s="7"/>
    </row>
    <row r="70" spans="1:31" ht="15" x14ac:dyDescent="0.2">
      <c r="A70" s="7"/>
      <c r="B70" s="546" t="s">
        <v>65</v>
      </c>
      <c r="C70" s="546"/>
      <c r="D70" s="546"/>
      <c r="E70" s="546"/>
      <c r="F70" s="546"/>
      <c r="G70" s="546"/>
      <c r="H70" s="546"/>
      <c r="I70" s="546"/>
      <c r="J70" s="546"/>
      <c r="K70" s="546"/>
      <c r="L70" s="546"/>
      <c r="M70" s="546"/>
      <c r="N70" s="546"/>
      <c r="O70" s="546"/>
      <c r="P70" s="546"/>
      <c r="Q70" s="546"/>
      <c r="R70" s="546"/>
      <c r="S70" s="546"/>
      <c r="T70" s="546"/>
      <c r="U70" s="546"/>
      <c r="V70" s="546"/>
      <c r="W70" s="546"/>
      <c r="X70" s="546"/>
      <c r="Y70" s="546"/>
      <c r="Z70" s="546"/>
      <c r="AA70" s="546"/>
      <c r="AB70" s="546"/>
      <c r="AC70" s="546"/>
      <c r="AD70" s="546"/>
      <c r="AE70" s="7"/>
    </row>
    <row r="71" spans="1:31" x14ac:dyDescent="0.2">
      <c r="A71" s="7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10"/>
      <c r="AC71" s="9"/>
      <c r="AD71" s="9"/>
      <c r="AE71" s="7"/>
    </row>
    <row r="72" spans="1:31" x14ac:dyDescent="0.2">
      <c r="A72" s="7"/>
      <c r="B72" s="11" t="s">
        <v>1</v>
      </c>
      <c r="C72" s="12"/>
      <c r="D72" s="12"/>
      <c r="E72" s="12"/>
      <c r="F72" s="12"/>
      <c r="G72" s="11"/>
      <c r="H72" s="11"/>
      <c r="I72" s="13"/>
      <c r="J72" s="11" t="s">
        <v>0</v>
      </c>
      <c r="K72" s="13" t="e">
        <f>K4</f>
        <v>#REF!</v>
      </c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10"/>
      <c r="AC72" s="9"/>
      <c r="AD72" s="9"/>
      <c r="AE72" s="7"/>
    </row>
    <row r="73" spans="1:31" x14ac:dyDescent="0.2">
      <c r="A73" s="7"/>
      <c r="B73" s="11"/>
      <c r="C73" s="12"/>
      <c r="D73" s="12"/>
      <c r="E73" s="12"/>
      <c r="F73" s="12"/>
      <c r="G73" s="11"/>
      <c r="H73" s="11"/>
      <c r="I73" s="13"/>
      <c r="J73" s="11"/>
      <c r="K73" s="13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10"/>
      <c r="AC73" s="9"/>
      <c r="AD73" s="9"/>
      <c r="AE73" s="7"/>
    </row>
    <row r="74" spans="1:31" x14ac:dyDescent="0.2">
      <c r="A74" s="7"/>
      <c r="B74" s="15" t="s">
        <v>3</v>
      </c>
      <c r="C74" s="3"/>
      <c r="D74" s="3"/>
      <c r="E74" s="3"/>
      <c r="F74" s="3"/>
      <c r="G74" s="3"/>
      <c r="H74" s="3"/>
      <c r="I74" s="3"/>
      <c r="J74" s="3" t="s">
        <v>0</v>
      </c>
      <c r="K74" s="547">
        <v>2017</v>
      </c>
      <c r="L74" s="547"/>
      <c r="M74" s="547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5"/>
      <c r="AB74" s="16"/>
      <c r="AC74" s="17"/>
      <c r="AD74" s="18"/>
      <c r="AE74" s="7"/>
    </row>
    <row r="75" spans="1:31" x14ac:dyDescent="0.2">
      <c r="A75" s="7"/>
      <c r="B75" s="15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5"/>
      <c r="AB75" s="16"/>
      <c r="AC75" s="17"/>
      <c r="AD75" s="18"/>
      <c r="AE75" s="7"/>
    </row>
    <row r="76" spans="1:31" x14ac:dyDescent="0.2">
      <c r="A76" s="7"/>
      <c r="B76" s="19"/>
      <c r="C76" s="20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2"/>
      <c r="AA76" s="23"/>
      <c r="AB76" s="24"/>
      <c r="AC76" s="23"/>
      <c r="AD76" s="25"/>
      <c r="AE76" s="7"/>
    </row>
    <row r="77" spans="1:31" x14ac:dyDescent="0.2">
      <c r="A77" s="7"/>
      <c r="B77" s="26" t="s">
        <v>5</v>
      </c>
      <c r="C77" s="548" t="s">
        <v>66</v>
      </c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50"/>
      <c r="AA77" s="27" t="s">
        <v>67</v>
      </c>
      <c r="AB77" s="28" t="s">
        <v>68</v>
      </c>
      <c r="AC77" s="27" t="s">
        <v>69</v>
      </c>
      <c r="AD77" s="27" t="s">
        <v>70</v>
      </c>
      <c r="AE77" s="7"/>
    </row>
    <row r="78" spans="1:31" ht="13.5" thickBot="1" x14ac:dyDescent="0.25">
      <c r="A78" s="7"/>
      <c r="B78" s="29"/>
      <c r="C78" s="30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2"/>
      <c r="AA78" s="33"/>
      <c r="AB78" s="34"/>
      <c r="AC78" s="33"/>
      <c r="AD78" s="35"/>
      <c r="AE78" s="7"/>
    </row>
    <row r="79" spans="1:31" ht="13.5" thickTop="1" x14ac:dyDescent="0.2">
      <c r="B79" s="3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7"/>
      <c r="AB79" s="38"/>
      <c r="AC79" s="37"/>
      <c r="AD79" s="39"/>
    </row>
    <row r="80" spans="1:31" ht="13.5" thickBot="1" x14ac:dyDescent="0.25">
      <c r="B80" s="26" t="s">
        <v>9</v>
      </c>
      <c r="C80" s="18"/>
      <c r="D80" s="18" t="s">
        <v>71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7"/>
      <c r="AB80" s="38"/>
      <c r="AC80" s="37"/>
      <c r="AD80" s="39"/>
    </row>
    <row r="81" spans="2:33" ht="13.5" thickBot="1" x14ac:dyDescent="0.25">
      <c r="B81" s="36" t="s">
        <v>72</v>
      </c>
      <c r="C81" s="3"/>
      <c r="D81" s="3" t="s">
        <v>73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551" t="s">
        <v>143</v>
      </c>
      <c r="AB81" s="552"/>
      <c r="AC81" s="553"/>
      <c r="AD81" s="39"/>
    </row>
    <row r="82" spans="2:33" x14ac:dyDescent="0.2">
      <c r="B82" s="36" t="s">
        <v>75</v>
      </c>
      <c r="C82" s="3"/>
      <c r="D82" s="3" t="s">
        <v>57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7" t="s">
        <v>76</v>
      </c>
      <c r="AB82" s="38">
        <v>15</v>
      </c>
      <c r="AC82" s="37" t="s">
        <v>77</v>
      </c>
      <c r="AD82" s="39"/>
    </row>
    <row r="83" spans="2:33" x14ac:dyDescent="0.2">
      <c r="B83" s="36" t="s">
        <v>78</v>
      </c>
      <c r="C83" s="3"/>
      <c r="D83" s="3" t="s">
        <v>79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7" t="s">
        <v>80</v>
      </c>
      <c r="AB83" s="38">
        <v>0.33</v>
      </c>
      <c r="AC83" s="37" t="s">
        <v>28</v>
      </c>
      <c r="AD83" s="39"/>
    </row>
    <row r="84" spans="2:33" x14ac:dyDescent="0.2">
      <c r="B84" s="36" t="s">
        <v>82</v>
      </c>
      <c r="C84" s="3"/>
      <c r="D84" s="3" t="s">
        <v>83</v>
      </c>
      <c r="E84" s="3"/>
      <c r="F84" s="3"/>
      <c r="G84" s="3"/>
      <c r="H84" s="3"/>
      <c r="I84" s="3"/>
      <c r="J84" s="3"/>
      <c r="K84" s="3"/>
      <c r="L84" s="3" t="s">
        <v>0</v>
      </c>
      <c r="M84" s="3" t="s">
        <v>38</v>
      </c>
      <c r="N84" s="3" t="s">
        <v>84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7" t="s">
        <v>24</v>
      </c>
      <c r="AB84" s="38">
        <v>3</v>
      </c>
      <c r="AC84" s="37" t="s">
        <v>85</v>
      </c>
      <c r="AD84" s="39"/>
    </row>
    <row r="85" spans="2:33" x14ac:dyDescent="0.2">
      <c r="B85" s="36"/>
      <c r="C85" s="3"/>
      <c r="D85" s="3"/>
      <c r="E85" s="3"/>
      <c r="F85" s="3"/>
      <c r="G85" s="3"/>
      <c r="H85" s="3"/>
      <c r="I85" s="3"/>
      <c r="J85" s="3"/>
      <c r="K85" s="3"/>
      <c r="L85" s="3"/>
      <c r="M85" s="3" t="s">
        <v>39</v>
      </c>
      <c r="N85" s="3" t="s">
        <v>86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7" t="s">
        <v>87</v>
      </c>
      <c r="AB85" s="38">
        <v>2000</v>
      </c>
      <c r="AC85" s="37" t="s">
        <v>54</v>
      </c>
      <c r="AD85" s="39"/>
    </row>
    <row r="86" spans="2:33" x14ac:dyDescent="0.2">
      <c r="B86" s="36"/>
      <c r="C86" s="3"/>
      <c r="D86" s="3"/>
      <c r="E86" s="3"/>
      <c r="F86" s="3"/>
      <c r="G86" s="3"/>
      <c r="H86" s="3"/>
      <c r="I86" s="3"/>
      <c r="J86" s="3"/>
      <c r="K86" s="3"/>
      <c r="L86" s="3"/>
      <c r="M86" s="3" t="s">
        <v>58</v>
      </c>
      <c r="N86" s="3" t="s">
        <v>88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7" t="s">
        <v>33</v>
      </c>
      <c r="AB86" s="38">
        <v>17000000</v>
      </c>
      <c r="AC86" s="37" t="s">
        <v>89</v>
      </c>
      <c r="AD86" s="39"/>
    </row>
    <row r="87" spans="2:33" x14ac:dyDescent="0.2">
      <c r="B87" s="36" t="s">
        <v>90</v>
      </c>
      <c r="C87" s="3"/>
      <c r="D87" s="3" t="s">
        <v>91</v>
      </c>
      <c r="E87" s="3"/>
      <c r="F87" s="3"/>
      <c r="G87" s="3"/>
      <c r="H87" s="3"/>
      <c r="I87" s="3"/>
      <c r="J87" s="3"/>
      <c r="K87" s="3"/>
      <c r="L87" s="3" t="s">
        <v>0</v>
      </c>
      <c r="M87" s="3" t="s">
        <v>38</v>
      </c>
      <c r="N87" s="3" t="s">
        <v>84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7" t="s">
        <v>92</v>
      </c>
      <c r="AB87" s="38">
        <f>+AB84</f>
        <v>3</v>
      </c>
      <c r="AC87" s="37" t="s">
        <v>85</v>
      </c>
      <c r="AD87" s="39"/>
    </row>
    <row r="88" spans="2:33" x14ac:dyDescent="0.2">
      <c r="B88" s="36"/>
      <c r="C88" s="3"/>
      <c r="D88" s="3"/>
      <c r="E88" s="3"/>
      <c r="F88" s="3"/>
      <c r="G88" s="3"/>
      <c r="H88" s="3"/>
      <c r="I88" s="3"/>
      <c r="J88" s="3"/>
      <c r="K88" s="3"/>
      <c r="L88" s="3"/>
      <c r="M88" s="3" t="s">
        <v>39</v>
      </c>
      <c r="N88" s="3" t="s">
        <v>86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7" t="s">
        <v>93</v>
      </c>
      <c r="AB88" s="38">
        <f>+AB85</f>
        <v>2000</v>
      </c>
      <c r="AC88" s="37" t="s">
        <v>54</v>
      </c>
      <c r="AD88" s="39"/>
    </row>
    <row r="89" spans="2:33" ht="14.25" x14ac:dyDescent="0.2">
      <c r="B89" s="36"/>
      <c r="C89" s="3"/>
      <c r="D89" s="3"/>
      <c r="E89" s="3"/>
      <c r="F89" s="3"/>
      <c r="G89" s="3"/>
      <c r="H89" s="3"/>
      <c r="I89" s="3"/>
      <c r="J89" s="3"/>
      <c r="K89" s="3"/>
      <c r="L89" s="3"/>
      <c r="M89" s="3" t="s">
        <v>58</v>
      </c>
      <c r="N89" s="3" t="s">
        <v>94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7" t="s">
        <v>95</v>
      </c>
      <c r="AB89" s="38">
        <f>+AB86</f>
        <v>17000000</v>
      </c>
      <c r="AC89" s="37" t="s">
        <v>89</v>
      </c>
      <c r="AD89" s="39"/>
    </row>
    <row r="90" spans="2:33" x14ac:dyDescent="0.2">
      <c r="B90" s="36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7"/>
      <c r="AB90" s="38"/>
      <c r="AC90" s="37"/>
      <c r="AD90" s="39"/>
    </row>
    <row r="91" spans="2:33" x14ac:dyDescent="0.2">
      <c r="B91" s="26" t="s">
        <v>4</v>
      </c>
      <c r="C91" s="3"/>
      <c r="D91" s="18" t="s">
        <v>96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7"/>
      <c r="AB91" s="38"/>
      <c r="AC91" s="37"/>
      <c r="AD91" s="39"/>
    </row>
    <row r="92" spans="2:33" x14ac:dyDescent="0.2">
      <c r="B92" s="36" t="s">
        <v>72</v>
      </c>
      <c r="C92" s="3"/>
      <c r="D92" s="3" t="s">
        <v>97</v>
      </c>
      <c r="E92" s="3"/>
      <c r="F92" s="3"/>
      <c r="G92" s="3"/>
      <c r="H92" s="3"/>
      <c r="I92" s="3"/>
      <c r="J92" s="3"/>
      <c r="K92" s="3"/>
      <c r="L92" s="3"/>
      <c r="M92" s="3" t="s">
        <v>98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7" t="s">
        <v>34</v>
      </c>
      <c r="AB92" s="38">
        <f>0.1*AB89</f>
        <v>1700000</v>
      </c>
      <c r="AC92" s="37" t="s">
        <v>89</v>
      </c>
      <c r="AD92" s="39"/>
    </row>
    <row r="93" spans="2:33" x14ac:dyDescent="0.2">
      <c r="B93" s="36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7"/>
      <c r="AB93" s="38"/>
      <c r="AC93" s="37"/>
      <c r="AD93" s="39"/>
      <c r="AG93" s="40">
        <f>AB127/100</f>
        <v>0.2</v>
      </c>
    </row>
    <row r="94" spans="2:33" ht="14.25" x14ac:dyDescent="0.2">
      <c r="B94" s="36" t="s">
        <v>75</v>
      </c>
      <c r="C94" s="3"/>
      <c r="D94" s="3" t="s">
        <v>99</v>
      </c>
      <c r="E94" s="3"/>
      <c r="F94" s="3"/>
      <c r="G94" s="3"/>
      <c r="H94" s="3"/>
      <c r="I94" s="3"/>
      <c r="J94" s="3"/>
      <c r="K94" s="3"/>
      <c r="L94" s="3"/>
      <c r="M94" s="3"/>
      <c r="N94" s="3" t="s">
        <v>100</v>
      </c>
      <c r="O94" s="543" t="s">
        <v>101</v>
      </c>
      <c r="P94" s="543"/>
      <c r="Q94" s="543"/>
      <c r="R94" s="543"/>
      <c r="S94" s="543"/>
      <c r="T94" s="543"/>
      <c r="U94" s="3"/>
      <c r="V94" s="3"/>
      <c r="W94" s="3"/>
      <c r="X94" s="3"/>
      <c r="Y94" s="3"/>
      <c r="Z94" s="3"/>
      <c r="AA94" s="37" t="s">
        <v>35</v>
      </c>
      <c r="AB94" s="41">
        <f>AG94/AG95</f>
        <v>0.47472527472527476</v>
      </c>
      <c r="AC94" s="37"/>
      <c r="AD94" s="39"/>
      <c r="AG94" s="40">
        <f>AG93*((1+AG93)^AB87)</f>
        <v>0.34560000000000002</v>
      </c>
    </row>
    <row r="95" spans="2:33" ht="14.25" x14ac:dyDescent="0.2">
      <c r="B95" s="36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544" t="s">
        <v>102</v>
      </c>
      <c r="P95" s="544"/>
      <c r="Q95" s="544"/>
      <c r="R95" s="544"/>
      <c r="S95" s="544"/>
      <c r="T95" s="544"/>
      <c r="U95" s="3"/>
      <c r="V95" s="3"/>
      <c r="W95" s="3"/>
      <c r="X95" s="3"/>
      <c r="Y95" s="3"/>
      <c r="Z95" s="3"/>
      <c r="AA95" s="37"/>
      <c r="AB95" s="38"/>
      <c r="AC95" s="37"/>
      <c r="AD95" s="39"/>
      <c r="AG95" s="40">
        <f>((1+AG93)^AB87)-1</f>
        <v>0.72799999999999998</v>
      </c>
    </row>
    <row r="96" spans="2:33" x14ac:dyDescent="0.2">
      <c r="B96" s="36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7"/>
      <c r="AB96" s="38"/>
      <c r="AC96" s="37"/>
      <c r="AD96" s="39"/>
    </row>
    <row r="97" spans="2:30" x14ac:dyDescent="0.2">
      <c r="B97" s="36" t="s">
        <v>78</v>
      </c>
      <c r="C97" s="3"/>
      <c r="D97" s="3" t="s">
        <v>103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7"/>
      <c r="AB97" s="38"/>
      <c r="AC97" s="37"/>
      <c r="AD97" s="39"/>
    </row>
    <row r="98" spans="2:30" x14ac:dyDescent="0.2">
      <c r="B98" s="36"/>
      <c r="C98" s="3"/>
      <c r="D98" s="3" t="s">
        <v>38</v>
      </c>
      <c r="E98" s="3" t="s">
        <v>104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 t="s">
        <v>100</v>
      </c>
      <c r="Q98" s="543" t="s">
        <v>105</v>
      </c>
      <c r="R98" s="543"/>
      <c r="S98" s="543"/>
      <c r="T98" s="543"/>
      <c r="U98" s="543"/>
      <c r="V98" s="543"/>
      <c r="W98" s="5"/>
      <c r="X98" s="5"/>
      <c r="Y98" s="3"/>
      <c r="Z98" s="3"/>
      <c r="AA98" s="37" t="s">
        <v>12</v>
      </c>
      <c r="AB98" s="38">
        <f>((AB89-AB92)*AB94)/AB88</f>
        <v>3631.6483516483522</v>
      </c>
      <c r="AC98" s="37" t="s">
        <v>89</v>
      </c>
      <c r="AD98" s="39"/>
    </row>
    <row r="99" spans="2:30" x14ac:dyDescent="0.2">
      <c r="B99" s="36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545" t="s">
        <v>93</v>
      </c>
      <c r="R99" s="545"/>
      <c r="S99" s="545"/>
      <c r="T99" s="545"/>
      <c r="U99" s="545"/>
      <c r="V99" s="545"/>
      <c r="W99" s="5"/>
      <c r="X99" s="5"/>
      <c r="Y99" s="3"/>
      <c r="Z99" s="3"/>
      <c r="AA99" s="37"/>
      <c r="AB99" s="38"/>
      <c r="AC99" s="37"/>
      <c r="AD99" s="39"/>
    </row>
    <row r="100" spans="2:30" x14ac:dyDescent="0.2">
      <c r="B100" s="36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7"/>
      <c r="AB100" s="38"/>
      <c r="AC100" s="37"/>
      <c r="AD100" s="39"/>
    </row>
    <row r="101" spans="2:30" x14ac:dyDescent="0.2">
      <c r="B101" s="36"/>
      <c r="C101" s="3"/>
      <c r="D101" s="3" t="s">
        <v>39</v>
      </c>
      <c r="E101" s="3" t="s">
        <v>106</v>
      </c>
      <c r="F101" s="3"/>
      <c r="G101" s="3"/>
      <c r="H101" s="3"/>
      <c r="I101" s="3"/>
      <c r="J101" s="3"/>
      <c r="K101" s="3" t="s">
        <v>100</v>
      </c>
      <c r="L101" s="543" t="s">
        <v>107</v>
      </c>
      <c r="M101" s="543"/>
      <c r="N101" s="543"/>
      <c r="O101" s="543"/>
      <c r="P101" s="543"/>
      <c r="Q101" s="42"/>
      <c r="R101" s="3"/>
      <c r="S101" s="3"/>
      <c r="T101" s="3"/>
      <c r="U101" s="3"/>
      <c r="V101" s="3"/>
      <c r="W101" s="3"/>
      <c r="X101" s="3"/>
      <c r="Y101" s="3"/>
      <c r="Z101" s="3"/>
      <c r="AA101" s="37" t="s">
        <v>13</v>
      </c>
      <c r="AB101" s="38">
        <f>(0.002*AB89)/AB88</f>
        <v>17</v>
      </c>
      <c r="AC101" s="37"/>
      <c r="AD101" s="39"/>
    </row>
    <row r="102" spans="2:30" x14ac:dyDescent="0.2">
      <c r="B102" s="36"/>
      <c r="C102" s="3"/>
      <c r="D102" s="3"/>
      <c r="E102" s="3"/>
      <c r="F102" s="3"/>
      <c r="G102" s="3"/>
      <c r="H102" s="3"/>
      <c r="I102" s="3"/>
      <c r="J102" s="3"/>
      <c r="K102" s="3"/>
      <c r="L102" s="545" t="s">
        <v>93</v>
      </c>
      <c r="M102" s="545"/>
      <c r="N102" s="545"/>
      <c r="O102" s="545"/>
      <c r="P102" s="545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7"/>
      <c r="AB102" s="38"/>
      <c r="AC102" s="37"/>
      <c r="AD102" s="39"/>
    </row>
    <row r="103" spans="2:30" x14ac:dyDescent="0.2">
      <c r="B103" s="36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7"/>
      <c r="AB103" s="38"/>
      <c r="AC103" s="37"/>
      <c r="AD103" s="39"/>
    </row>
    <row r="104" spans="2:30" x14ac:dyDescent="0.2">
      <c r="B104" s="36"/>
      <c r="C104" s="3"/>
      <c r="D104" s="3" t="s">
        <v>108</v>
      </c>
      <c r="E104" s="3"/>
      <c r="F104" s="3"/>
      <c r="G104" s="3"/>
      <c r="H104" s="3"/>
      <c r="I104" s="3"/>
      <c r="J104" s="3"/>
      <c r="K104" s="3"/>
      <c r="L104" s="3"/>
      <c r="M104" s="3" t="s">
        <v>100</v>
      </c>
      <c r="N104" s="3" t="s">
        <v>109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7" t="s">
        <v>14</v>
      </c>
      <c r="AB104" s="38">
        <f>AB98+AB101</f>
        <v>3648.6483516483522</v>
      </c>
      <c r="AC104" s="37" t="s">
        <v>89</v>
      </c>
      <c r="AD104" s="39"/>
    </row>
    <row r="105" spans="2:30" x14ac:dyDescent="0.2">
      <c r="B105" s="36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7"/>
      <c r="AB105" s="38"/>
      <c r="AC105" s="37"/>
      <c r="AD105" s="39"/>
    </row>
    <row r="106" spans="2:30" x14ac:dyDescent="0.2">
      <c r="B106" s="26" t="s">
        <v>10</v>
      </c>
      <c r="C106" s="3"/>
      <c r="D106" s="18" t="s">
        <v>110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7"/>
      <c r="AB106" s="38"/>
      <c r="AC106" s="37"/>
      <c r="AD106" s="39"/>
    </row>
    <row r="107" spans="2:30" x14ac:dyDescent="0.2">
      <c r="B107" s="36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7"/>
      <c r="AB107" s="38"/>
      <c r="AC107" s="37"/>
      <c r="AD107" s="39"/>
    </row>
    <row r="108" spans="2:30" x14ac:dyDescent="0.2">
      <c r="B108" s="36" t="s">
        <v>72</v>
      </c>
      <c r="C108" s="3"/>
      <c r="D108" s="3" t="s">
        <v>111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7" t="s">
        <v>15</v>
      </c>
      <c r="AB108" s="38">
        <f>0.12*AB82*AB131</f>
        <v>19799.999999999996</v>
      </c>
      <c r="AC108" s="37" t="s">
        <v>89</v>
      </c>
      <c r="AD108" s="39"/>
    </row>
    <row r="109" spans="2:30" x14ac:dyDescent="0.2">
      <c r="B109" s="36"/>
      <c r="C109" s="3"/>
      <c r="D109" s="4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7"/>
      <c r="AB109" s="38"/>
      <c r="AC109" s="37"/>
      <c r="AD109" s="39"/>
    </row>
    <row r="110" spans="2:30" x14ac:dyDescent="0.2">
      <c r="B110" s="36" t="s">
        <v>75</v>
      </c>
      <c r="C110" s="3"/>
      <c r="D110" s="3" t="s">
        <v>112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7" t="s">
        <v>42</v>
      </c>
      <c r="AB110" s="38">
        <f>0.025*AB82*AB132</f>
        <v>9487.5</v>
      </c>
      <c r="AC110" s="37" t="s">
        <v>89</v>
      </c>
      <c r="AD110" s="39"/>
    </row>
    <row r="111" spans="2:30" x14ac:dyDescent="0.2">
      <c r="B111" s="3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7"/>
      <c r="AB111" s="38"/>
      <c r="AC111" s="37"/>
      <c r="AD111" s="39"/>
    </row>
    <row r="112" spans="2:30" x14ac:dyDescent="0.2">
      <c r="B112" s="36" t="s">
        <v>78</v>
      </c>
      <c r="C112" s="3"/>
      <c r="D112" s="3" t="s">
        <v>113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543" t="s">
        <v>114</v>
      </c>
      <c r="P112" s="543"/>
      <c r="Q112" s="543"/>
      <c r="R112" s="543"/>
      <c r="S112" s="543"/>
      <c r="T112" s="543"/>
      <c r="U112" s="543"/>
      <c r="V112" s="543"/>
      <c r="W112" s="543"/>
      <c r="X112" s="42"/>
      <c r="Y112" s="42"/>
      <c r="Z112" s="3"/>
      <c r="AA112" s="37" t="s">
        <v>115</v>
      </c>
      <c r="AB112" s="38">
        <f>(0.125*AB89)/AB88</f>
        <v>1062.5</v>
      </c>
      <c r="AC112" s="37" t="s">
        <v>89</v>
      </c>
      <c r="AD112" s="39"/>
    </row>
    <row r="113" spans="2:30" x14ac:dyDescent="0.2">
      <c r="B113" s="3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544" t="s">
        <v>93</v>
      </c>
      <c r="P113" s="544"/>
      <c r="Q113" s="544"/>
      <c r="R113" s="544"/>
      <c r="S113" s="544"/>
      <c r="T113" s="544"/>
      <c r="U113" s="544"/>
      <c r="V113" s="544"/>
      <c r="W113" s="544"/>
      <c r="X113" s="42"/>
      <c r="Y113" s="42"/>
      <c r="Z113" s="3"/>
      <c r="AA113" s="37"/>
      <c r="AB113" s="38"/>
      <c r="AC113" s="37"/>
      <c r="AD113" s="39"/>
    </row>
    <row r="114" spans="2:30" x14ac:dyDescent="0.2">
      <c r="B114" s="3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5"/>
      <c r="P114" s="5"/>
      <c r="Q114" s="5"/>
      <c r="R114" s="5"/>
      <c r="S114" s="5"/>
      <c r="T114" s="5"/>
      <c r="U114" s="5"/>
      <c r="V114" s="5"/>
      <c r="W114" s="5"/>
      <c r="X114" s="42"/>
      <c r="Y114" s="42"/>
      <c r="Z114" s="3"/>
      <c r="AA114" s="37"/>
      <c r="AB114" s="38"/>
      <c r="AC114" s="37"/>
      <c r="AD114" s="39"/>
    </row>
    <row r="115" spans="2:30" x14ac:dyDescent="0.2">
      <c r="B115" s="36" t="s">
        <v>90</v>
      </c>
      <c r="C115" s="3"/>
      <c r="D115" s="45" t="s">
        <v>116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543" t="s">
        <v>117</v>
      </c>
      <c r="P115" s="543"/>
      <c r="Q115" s="543"/>
      <c r="R115" s="543"/>
      <c r="S115" s="543"/>
      <c r="T115" s="543"/>
      <c r="U115" s="543"/>
      <c r="V115" s="543"/>
      <c r="W115" s="543"/>
      <c r="X115" s="42"/>
      <c r="Y115" s="42"/>
      <c r="Z115" s="3"/>
      <c r="AA115" s="37" t="s">
        <v>55</v>
      </c>
      <c r="AB115" s="38">
        <f>(0.0875*AB86)/AB88</f>
        <v>743.75</v>
      </c>
      <c r="AC115" s="37" t="s">
        <v>89</v>
      </c>
      <c r="AD115" s="39"/>
    </row>
    <row r="116" spans="2:30" x14ac:dyDescent="0.2">
      <c r="B116" s="36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544" t="s">
        <v>93</v>
      </c>
      <c r="P116" s="544"/>
      <c r="Q116" s="544"/>
      <c r="R116" s="544"/>
      <c r="S116" s="544"/>
      <c r="T116" s="544"/>
      <c r="U116" s="544"/>
      <c r="V116" s="544"/>
      <c r="W116" s="544"/>
      <c r="X116" s="42"/>
      <c r="Y116" s="42"/>
      <c r="Z116" s="3"/>
      <c r="AA116" s="37"/>
      <c r="AB116" s="38"/>
      <c r="AC116" s="37"/>
      <c r="AD116" s="39"/>
    </row>
    <row r="117" spans="2:30" x14ac:dyDescent="0.2">
      <c r="B117" s="36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7"/>
      <c r="AB117" s="38"/>
      <c r="AC117" s="37"/>
      <c r="AD117" s="39"/>
    </row>
    <row r="118" spans="2:30" x14ac:dyDescent="0.2">
      <c r="B118" s="36" t="s">
        <v>118</v>
      </c>
      <c r="C118" s="3"/>
      <c r="D118" s="3" t="s">
        <v>119</v>
      </c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7" t="s">
        <v>43</v>
      </c>
      <c r="AB118" s="38">
        <f>1*AB128</f>
        <v>9000</v>
      </c>
      <c r="AC118" s="37" t="s">
        <v>89</v>
      </c>
      <c r="AD118" s="39"/>
    </row>
    <row r="119" spans="2:30" x14ac:dyDescent="0.2">
      <c r="B119" s="36" t="s">
        <v>120</v>
      </c>
      <c r="C119" s="3"/>
      <c r="D119" s="3" t="s">
        <v>121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7" t="s">
        <v>122</v>
      </c>
      <c r="AB119" s="38">
        <f>1*AB129</f>
        <v>9714.2857142857138</v>
      </c>
      <c r="AC119" s="37" t="s">
        <v>89</v>
      </c>
      <c r="AD119" s="39"/>
    </row>
    <row r="120" spans="2:30" x14ac:dyDescent="0.2">
      <c r="B120" s="36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7"/>
      <c r="AB120" s="38"/>
      <c r="AC120" s="37"/>
      <c r="AD120" s="39"/>
    </row>
    <row r="121" spans="2:30" x14ac:dyDescent="0.2">
      <c r="B121" s="36"/>
      <c r="C121" s="3"/>
      <c r="D121" s="3" t="s">
        <v>123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7" t="s">
        <v>124</v>
      </c>
      <c r="AB121" s="38">
        <f>AB108+AB110+AB112+AB118+AB119+AB115</f>
        <v>49808.03571428571</v>
      </c>
      <c r="AC121" s="37" t="s">
        <v>89</v>
      </c>
      <c r="AD121" s="39"/>
    </row>
    <row r="122" spans="2:30" ht="13.5" thickBot="1" x14ac:dyDescent="0.25">
      <c r="B122" s="36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7"/>
      <c r="AB122" s="38"/>
      <c r="AC122" s="37"/>
      <c r="AD122" s="39"/>
    </row>
    <row r="123" spans="2:30" ht="13.5" thickBot="1" x14ac:dyDescent="0.25">
      <c r="B123" s="26" t="s">
        <v>11</v>
      </c>
      <c r="C123" s="3"/>
      <c r="D123" s="18" t="s">
        <v>125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46" t="s">
        <v>126</v>
      </c>
      <c r="AB123" s="47">
        <f>AB104+AB121</f>
        <v>53456.68406593406</v>
      </c>
      <c r="AC123" s="46" t="s">
        <v>89</v>
      </c>
      <c r="AD123" s="39"/>
    </row>
    <row r="124" spans="2:30" x14ac:dyDescent="0.2">
      <c r="B124" s="36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7"/>
      <c r="AB124" s="38"/>
      <c r="AC124" s="37"/>
      <c r="AD124" s="39"/>
    </row>
    <row r="125" spans="2:30" x14ac:dyDescent="0.2">
      <c r="B125" s="36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7"/>
      <c r="AB125" s="38"/>
      <c r="AC125" s="37"/>
      <c r="AD125" s="39"/>
    </row>
    <row r="126" spans="2:30" x14ac:dyDescent="0.2">
      <c r="B126" s="26" t="s">
        <v>16</v>
      </c>
      <c r="C126" s="18"/>
      <c r="D126" s="18" t="s">
        <v>127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7"/>
      <c r="AB126" s="38"/>
      <c r="AC126" s="37"/>
      <c r="AD126" s="39"/>
    </row>
    <row r="127" spans="2:30" x14ac:dyDescent="0.2">
      <c r="B127" s="36" t="s">
        <v>72</v>
      </c>
      <c r="C127" s="3"/>
      <c r="D127" s="3" t="s">
        <v>128</v>
      </c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7" t="s">
        <v>129</v>
      </c>
      <c r="AB127" s="38">
        <v>20</v>
      </c>
      <c r="AC127" s="37" t="s">
        <v>130</v>
      </c>
      <c r="AD127" s="39"/>
    </row>
    <row r="128" spans="2:30" x14ac:dyDescent="0.2">
      <c r="B128" s="36" t="s">
        <v>75</v>
      </c>
      <c r="C128" s="3"/>
      <c r="D128" s="3" t="s">
        <v>131</v>
      </c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7" t="s">
        <v>132</v>
      </c>
      <c r="AB128" s="38">
        <f>'[14]Daftar Upah'!$F$17/7</f>
        <v>9000</v>
      </c>
      <c r="AC128" s="37" t="s">
        <v>133</v>
      </c>
      <c r="AD128" s="39"/>
    </row>
    <row r="129" spans="2:31" x14ac:dyDescent="0.2">
      <c r="B129" s="36" t="s">
        <v>78</v>
      </c>
      <c r="C129" s="3"/>
      <c r="D129" s="3" t="s">
        <v>134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7" t="s">
        <v>135</v>
      </c>
      <c r="AB129" s="38">
        <f>'[14]Daftar Upah'!$F$16/7</f>
        <v>9714.2857142857138</v>
      </c>
      <c r="AC129" s="37" t="s">
        <v>133</v>
      </c>
      <c r="AD129" s="39"/>
    </row>
    <row r="130" spans="2:31" x14ac:dyDescent="0.2">
      <c r="B130" s="36" t="s">
        <v>82</v>
      </c>
      <c r="C130" s="3"/>
      <c r="D130" s="3" t="s">
        <v>136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7" t="s">
        <v>137</v>
      </c>
      <c r="AB130" s="38">
        <f>AB131</f>
        <v>11000</v>
      </c>
      <c r="AC130" s="37" t="s">
        <v>40</v>
      </c>
      <c r="AD130" s="39"/>
    </row>
    <row r="131" spans="2:31" x14ac:dyDescent="0.2">
      <c r="B131" s="36" t="s">
        <v>90</v>
      </c>
      <c r="C131" s="3"/>
      <c r="D131" s="3" t="s">
        <v>138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7" t="s">
        <v>139</v>
      </c>
      <c r="AB131" s="38">
        <f>'[14]Daftar Bahan'!$G$11</f>
        <v>11000</v>
      </c>
      <c r="AC131" s="37" t="s">
        <v>40</v>
      </c>
      <c r="AD131" s="39"/>
    </row>
    <row r="132" spans="2:31" x14ac:dyDescent="0.2">
      <c r="B132" s="36" t="s">
        <v>118</v>
      </c>
      <c r="C132" s="3"/>
      <c r="D132" s="3" t="s">
        <v>53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7" t="s">
        <v>140</v>
      </c>
      <c r="AB132" s="38">
        <f>'[14]Daftar Bahan'!$G$12</f>
        <v>25300</v>
      </c>
      <c r="AC132" s="37" t="s">
        <v>40</v>
      </c>
      <c r="AD132" s="39"/>
    </row>
    <row r="133" spans="2:31" x14ac:dyDescent="0.2">
      <c r="B133" s="36" t="s">
        <v>120</v>
      </c>
      <c r="C133" s="3"/>
      <c r="D133" s="3" t="s">
        <v>141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7"/>
      <c r="AB133" s="38"/>
      <c r="AC133" s="37"/>
      <c r="AD133" s="39"/>
    </row>
    <row r="134" spans="2:31" x14ac:dyDescent="0.2">
      <c r="B134" s="36"/>
      <c r="C134" s="3"/>
      <c r="D134" s="3" t="s">
        <v>142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7"/>
      <c r="AB134" s="38"/>
      <c r="AC134" s="37"/>
      <c r="AD134" s="39"/>
    </row>
    <row r="135" spans="2:31" x14ac:dyDescent="0.2">
      <c r="B135" s="49"/>
      <c r="C135" s="50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2"/>
      <c r="AA135" s="53"/>
      <c r="AB135" s="54"/>
      <c r="AC135" s="53"/>
      <c r="AD135" s="55"/>
    </row>
    <row r="136" spans="2:31" x14ac:dyDescent="0.2">
      <c r="B136" s="56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57"/>
      <c r="AB136" s="58"/>
      <c r="AC136" s="57"/>
      <c r="AD136" s="7"/>
    </row>
    <row r="139" spans="2:31" ht="15" x14ac:dyDescent="0.2">
      <c r="B139" s="546" t="s">
        <v>65</v>
      </c>
      <c r="C139" s="546"/>
      <c r="D139" s="546"/>
      <c r="E139" s="546"/>
      <c r="F139" s="546"/>
      <c r="G139" s="546"/>
      <c r="H139" s="546"/>
      <c r="I139" s="546"/>
      <c r="J139" s="546"/>
      <c r="K139" s="546"/>
      <c r="L139" s="546"/>
      <c r="M139" s="546"/>
      <c r="N139" s="546"/>
      <c r="O139" s="546"/>
      <c r="P139" s="546"/>
      <c r="Q139" s="546"/>
      <c r="R139" s="546"/>
      <c r="S139" s="546"/>
      <c r="T139" s="546"/>
      <c r="U139" s="546"/>
      <c r="V139" s="546"/>
      <c r="W139" s="546"/>
      <c r="X139" s="546"/>
      <c r="Y139" s="546"/>
      <c r="Z139" s="546"/>
      <c r="AA139" s="546"/>
      <c r="AB139" s="546"/>
      <c r="AC139" s="546"/>
      <c r="AD139" s="546"/>
      <c r="AE139" s="7"/>
    </row>
    <row r="140" spans="2:31" x14ac:dyDescent="0.2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10"/>
      <c r="AC140" s="9"/>
      <c r="AD140" s="9"/>
      <c r="AE140" s="7"/>
    </row>
    <row r="141" spans="2:31" x14ac:dyDescent="0.2">
      <c r="B141" s="11" t="s">
        <v>1</v>
      </c>
      <c r="C141" s="12"/>
      <c r="D141" s="12"/>
      <c r="E141" s="12"/>
      <c r="F141" s="12"/>
      <c r="G141" s="11"/>
      <c r="H141" s="11"/>
      <c r="I141" s="13"/>
      <c r="J141" s="11" t="s">
        <v>0</v>
      </c>
      <c r="K141" s="13" t="e">
        <f>K4</f>
        <v>#REF!</v>
      </c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10"/>
      <c r="AC141" s="9"/>
      <c r="AD141" s="9"/>
      <c r="AE141" s="7"/>
    </row>
    <row r="142" spans="2:31" x14ac:dyDescent="0.2">
      <c r="B142" s="11"/>
      <c r="C142" s="12"/>
      <c r="D142" s="12"/>
      <c r="E142" s="12"/>
      <c r="F142" s="12"/>
      <c r="G142" s="11"/>
      <c r="H142" s="11"/>
      <c r="I142" s="13"/>
      <c r="J142" s="11"/>
      <c r="K142" s="13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10"/>
      <c r="AC142" s="9"/>
      <c r="AD142" s="9"/>
      <c r="AE142" s="7"/>
    </row>
    <row r="143" spans="2:31" x14ac:dyDescent="0.2">
      <c r="B143" s="15" t="s">
        <v>3</v>
      </c>
      <c r="C143" s="3"/>
      <c r="D143" s="3"/>
      <c r="E143" s="3"/>
      <c r="F143" s="3"/>
      <c r="G143" s="3"/>
      <c r="H143" s="3"/>
      <c r="I143" s="3"/>
      <c r="J143" s="3" t="s">
        <v>0</v>
      </c>
      <c r="K143" s="547">
        <v>2017</v>
      </c>
      <c r="L143" s="547"/>
      <c r="M143" s="547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5"/>
      <c r="AB143" s="16"/>
      <c r="AC143" s="17"/>
      <c r="AD143" s="18"/>
      <c r="AE143" s="7"/>
    </row>
    <row r="144" spans="2:31" x14ac:dyDescent="0.2">
      <c r="B144" s="15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5"/>
      <c r="AB144" s="16"/>
      <c r="AC144" s="17"/>
      <c r="AD144" s="18"/>
      <c r="AE144" s="7"/>
    </row>
    <row r="145" spans="2:33" x14ac:dyDescent="0.2">
      <c r="B145" s="19"/>
      <c r="C145" s="20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2"/>
      <c r="AA145" s="23"/>
      <c r="AB145" s="24"/>
      <c r="AC145" s="23"/>
      <c r="AD145" s="25"/>
      <c r="AE145" s="7"/>
    </row>
    <row r="146" spans="2:33" x14ac:dyDescent="0.2">
      <c r="B146" s="26" t="s">
        <v>5</v>
      </c>
      <c r="C146" s="548" t="s">
        <v>66</v>
      </c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50"/>
      <c r="AA146" s="27" t="s">
        <v>67</v>
      </c>
      <c r="AB146" s="28" t="s">
        <v>68</v>
      </c>
      <c r="AC146" s="27" t="s">
        <v>69</v>
      </c>
      <c r="AD146" s="27" t="s">
        <v>70</v>
      </c>
      <c r="AE146" s="7"/>
    </row>
    <row r="147" spans="2:33" ht="13.5" thickBot="1" x14ac:dyDescent="0.25">
      <c r="B147" s="29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2"/>
      <c r="AA147" s="33"/>
      <c r="AB147" s="34"/>
      <c r="AC147" s="33"/>
      <c r="AD147" s="35"/>
      <c r="AE147" s="7"/>
    </row>
    <row r="148" spans="2:33" ht="13.5" thickTop="1" x14ac:dyDescent="0.2">
      <c r="B148" s="36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7"/>
      <c r="AB148" s="38"/>
      <c r="AC148" s="37"/>
      <c r="AD148" s="39"/>
    </row>
    <row r="149" spans="2:33" ht="13.5" thickBot="1" x14ac:dyDescent="0.25">
      <c r="B149" s="26" t="s">
        <v>9</v>
      </c>
      <c r="C149" s="18"/>
      <c r="D149" s="18" t="s">
        <v>71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7"/>
      <c r="AB149" s="38"/>
      <c r="AC149" s="37"/>
      <c r="AD149" s="39"/>
    </row>
    <row r="150" spans="2:33" ht="13.5" thickBot="1" x14ac:dyDescent="0.25">
      <c r="B150" s="36" t="s">
        <v>72</v>
      </c>
      <c r="C150" s="3"/>
      <c r="D150" s="3" t="s">
        <v>73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551" t="s">
        <v>144</v>
      </c>
      <c r="AB150" s="552"/>
      <c r="AC150" s="553"/>
      <c r="AD150" s="39"/>
    </row>
    <row r="151" spans="2:33" x14ac:dyDescent="0.2">
      <c r="B151" s="36" t="s">
        <v>75</v>
      </c>
      <c r="C151" s="3"/>
      <c r="D151" s="3" t="s">
        <v>57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7" t="s">
        <v>76</v>
      </c>
      <c r="AB151" s="38">
        <v>5</v>
      </c>
      <c r="AC151" s="37" t="s">
        <v>77</v>
      </c>
      <c r="AD151" s="39"/>
    </row>
    <row r="152" spans="2:33" x14ac:dyDescent="0.2">
      <c r="B152" s="36" t="s">
        <v>78</v>
      </c>
      <c r="C152" s="3"/>
      <c r="D152" s="3" t="s">
        <v>79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7" t="s">
        <v>80</v>
      </c>
      <c r="AB152" s="38">
        <v>0</v>
      </c>
      <c r="AC152" s="37" t="s">
        <v>28</v>
      </c>
      <c r="AD152" s="39"/>
    </row>
    <row r="153" spans="2:33" x14ac:dyDescent="0.2">
      <c r="B153" s="36" t="s">
        <v>82</v>
      </c>
      <c r="C153" s="3"/>
      <c r="D153" s="3" t="s">
        <v>83</v>
      </c>
      <c r="E153" s="3"/>
      <c r="F153" s="3"/>
      <c r="G153" s="3"/>
      <c r="H153" s="3"/>
      <c r="I153" s="3"/>
      <c r="J153" s="3"/>
      <c r="K153" s="3"/>
      <c r="L153" s="3" t="s">
        <v>0</v>
      </c>
      <c r="M153" s="3" t="s">
        <v>38</v>
      </c>
      <c r="N153" s="3" t="s">
        <v>84</v>
      </c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7" t="s">
        <v>24</v>
      </c>
      <c r="AB153" s="38">
        <v>3</v>
      </c>
      <c r="AC153" s="37" t="s">
        <v>85</v>
      </c>
      <c r="AD153" s="39"/>
    </row>
    <row r="154" spans="2:33" x14ac:dyDescent="0.2">
      <c r="B154" s="36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 t="s">
        <v>39</v>
      </c>
      <c r="N154" s="3" t="s">
        <v>86</v>
      </c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7" t="s">
        <v>87</v>
      </c>
      <c r="AB154" s="38">
        <v>2000</v>
      </c>
      <c r="AC154" s="37" t="s">
        <v>54</v>
      </c>
      <c r="AD154" s="39"/>
      <c r="AG154" s="2">
        <v>247000000</v>
      </c>
    </row>
    <row r="155" spans="2:33" x14ac:dyDescent="0.2">
      <c r="B155" s="36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 t="s">
        <v>58</v>
      </c>
      <c r="N155" s="3" t="s">
        <v>88</v>
      </c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7" t="s">
        <v>33</v>
      </c>
      <c r="AB155" s="38">
        <v>12000000</v>
      </c>
      <c r="AC155" s="37" t="s">
        <v>89</v>
      </c>
      <c r="AD155" s="39"/>
      <c r="AG155" s="48">
        <f>AG154*0.07</f>
        <v>17290000</v>
      </c>
    </row>
    <row r="156" spans="2:33" x14ac:dyDescent="0.2">
      <c r="B156" s="36" t="s">
        <v>90</v>
      </c>
      <c r="C156" s="3"/>
      <c r="D156" s="3" t="s">
        <v>91</v>
      </c>
      <c r="E156" s="3"/>
      <c r="F156" s="3"/>
      <c r="G156" s="3"/>
      <c r="H156" s="3"/>
      <c r="I156" s="3"/>
      <c r="J156" s="3"/>
      <c r="K156" s="3"/>
      <c r="L156" s="3" t="s">
        <v>0</v>
      </c>
      <c r="M156" s="3" t="s">
        <v>38</v>
      </c>
      <c r="N156" s="3" t="s">
        <v>84</v>
      </c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7" t="s">
        <v>92</v>
      </c>
      <c r="AB156" s="38">
        <f>+AB153</f>
        <v>3</v>
      </c>
      <c r="AC156" s="37" t="s">
        <v>85</v>
      </c>
      <c r="AD156" s="39"/>
    </row>
    <row r="157" spans="2:33" x14ac:dyDescent="0.2">
      <c r="B157" s="36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 t="s">
        <v>39</v>
      </c>
      <c r="N157" s="3" t="s">
        <v>86</v>
      </c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7" t="s">
        <v>93</v>
      </c>
      <c r="AB157" s="38">
        <f>+AB154</f>
        <v>2000</v>
      </c>
      <c r="AC157" s="37" t="s">
        <v>54</v>
      </c>
      <c r="AD157" s="39"/>
    </row>
    <row r="158" spans="2:33" ht="14.25" x14ac:dyDescent="0.2">
      <c r="B158" s="36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 t="s">
        <v>58</v>
      </c>
      <c r="N158" s="3" t="s">
        <v>94</v>
      </c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7" t="s">
        <v>95</v>
      </c>
      <c r="AB158" s="38">
        <f>+AB155</f>
        <v>12000000</v>
      </c>
      <c r="AC158" s="37" t="s">
        <v>89</v>
      </c>
      <c r="AD158" s="39"/>
    </row>
    <row r="159" spans="2:33" x14ac:dyDescent="0.2">
      <c r="B159" s="36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7"/>
      <c r="AB159" s="38"/>
      <c r="AC159" s="37"/>
      <c r="AD159" s="39"/>
    </row>
    <row r="160" spans="2:33" x14ac:dyDescent="0.2">
      <c r="B160" s="26" t="s">
        <v>4</v>
      </c>
      <c r="C160" s="3"/>
      <c r="D160" s="18" t="s">
        <v>96</v>
      </c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7"/>
      <c r="AB160" s="38"/>
      <c r="AC160" s="37"/>
      <c r="AD160" s="39"/>
    </row>
    <row r="161" spans="2:33" x14ac:dyDescent="0.2">
      <c r="B161" s="36" t="s">
        <v>72</v>
      </c>
      <c r="C161" s="3"/>
      <c r="D161" s="3" t="s">
        <v>97</v>
      </c>
      <c r="E161" s="3"/>
      <c r="F161" s="3"/>
      <c r="G161" s="3"/>
      <c r="H161" s="3"/>
      <c r="I161" s="3"/>
      <c r="J161" s="3"/>
      <c r="K161" s="3"/>
      <c r="L161" s="3"/>
      <c r="M161" s="3" t="s">
        <v>98</v>
      </c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7" t="s">
        <v>34</v>
      </c>
      <c r="AB161" s="38">
        <f>0.1*AB158</f>
        <v>1200000</v>
      </c>
      <c r="AC161" s="37" t="s">
        <v>89</v>
      </c>
      <c r="AD161" s="39"/>
    </row>
    <row r="162" spans="2:33" x14ac:dyDescent="0.2">
      <c r="B162" s="36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7"/>
      <c r="AB162" s="38"/>
      <c r="AC162" s="37"/>
      <c r="AD162" s="39"/>
      <c r="AG162" s="40">
        <f>AB196/100</f>
        <v>0.2</v>
      </c>
    </row>
    <row r="163" spans="2:33" ht="14.25" x14ac:dyDescent="0.2">
      <c r="B163" s="36" t="s">
        <v>75</v>
      </c>
      <c r="C163" s="3"/>
      <c r="D163" s="3" t="s">
        <v>99</v>
      </c>
      <c r="E163" s="3"/>
      <c r="F163" s="3"/>
      <c r="G163" s="3"/>
      <c r="H163" s="3"/>
      <c r="I163" s="3"/>
      <c r="J163" s="3"/>
      <c r="K163" s="3"/>
      <c r="L163" s="3"/>
      <c r="M163" s="3"/>
      <c r="N163" s="3" t="s">
        <v>100</v>
      </c>
      <c r="O163" s="543" t="s">
        <v>101</v>
      </c>
      <c r="P163" s="543"/>
      <c r="Q163" s="543"/>
      <c r="R163" s="543"/>
      <c r="S163" s="543"/>
      <c r="T163" s="543"/>
      <c r="U163" s="3"/>
      <c r="V163" s="3"/>
      <c r="W163" s="3"/>
      <c r="X163" s="3"/>
      <c r="Y163" s="3"/>
      <c r="Z163" s="3"/>
      <c r="AA163" s="37" t="s">
        <v>35</v>
      </c>
      <c r="AB163" s="41">
        <f>AG163/AG164</f>
        <v>0.47472527472527476</v>
      </c>
      <c r="AC163" s="37"/>
      <c r="AD163" s="39"/>
      <c r="AG163" s="40">
        <f>AG162*((1+AG162)^AB156)</f>
        <v>0.34560000000000002</v>
      </c>
    </row>
    <row r="164" spans="2:33" ht="14.25" x14ac:dyDescent="0.2">
      <c r="B164" s="36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544" t="s">
        <v>102</v>
      </c>
      <c r="P164" s="544"/>
      <c r="Q164" s="544"/>
      <c r="R164" s="544"/>
      <c r="S164" s="544"/>
      <c r="T164" s="544"/>
      <c r="U164" s="3"/>
      <c r="V164" s="3"/>
      <c r="W164" s="3"/>
      <c r="X164" s="3"/>
      <c r="Y164" s="3"/>
      <c r="Z164" s="3"/>
      <c r="AA164" s="37"/>
      <c r="AB164" s="38"/>
      <c r="AC164" s="37"/>
      <c r="AD164" s="39"/>
      <c r="AG164" s="40">
        <f>((1+AG162)^AB156)-1</f>
        <v>0.72799999999999998</v>
      </c>
    </row>
    <row r="165" spans="2:33" x14ac:dyDescent="0.2">
      <c r="B165" s="36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7"/>
      <c r="AB165" s="38"/>
      <c r="AC165" s="37"/>
      <c r="AD165" s="39"/>
    </row>
    <row r="166" spans="2:33" x14ac:dyDescent="0.2">
      <c r="B166" s="36" t="s">
        <v>78</v>
      </c>
      <c r="C166" s="3"/>
      <c r="D166" s="3" t="s">
        <v>103</v>
      </c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7"/>
      <c r="AB166" s="38"/>
      <c r="AC166" s="37"/>
      <c r="AD166" s="39"/>
    </row>
    <row r="167" spans="2:33" x14ac:dyDescent="0.2">
      <c r="B167" s="36"/>
      <c r="C167" s="3"/>
      <c r="D167" s="3" t="s">
        <v>38</v>
      </c>
      <c r="E167" s="3" t="s">
        <v>104</v>
      </c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 t="s">
        <v>100</v>
      </c>
      <c r="Q167" s="543" t="s">
        <v>105</v>
      </c>
      <c r="R167" s="543"/>
      <c r="S167" s="543"/>
      <c r="T167" s="543"/>
      <c r="U167" s="543"/>
      <c r="V167" s="543"/>
      <c r="W167" s="5"/>
      <c r="X167" s="5"/>
      <c r="Y167" s="3"/>
      <c r="Z167" s="3"/>
      <c r="AA167" s="37" t="s">
        <v>12</v>
      </c>
      <c r="AB167" s="38">
        <f>((AB158-AB161)*AB163)/AB157</f>
        <v>2563.5164835164837</v>
      </c>
      <c r="AC167" s="37" t="s">
        <v>89</v>
      </c>
      <c r="AD167" s="39"/>
    </row>
    <row r="168" spans="2:33" x14ac:dyDescent="0.2">
      <c r="B168" s="36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545" t="s">
        <v>93</v>
      </c>
      <c r="R168" s="545"/>
      <c r="S168" s="545"/>
      <c r="T168" s="545"/>
      <c r="U168" s="545"/>
      <c r="V168" s="545"/>
      <c r="W168" s="5"/>
      <c r="X168" s="5"/>
      <c r="Y168" s="3"/>
      <c r="Z168" s="3"/>
      <c r="AA168" s="37"/>
      <c r="AB168" s="38"/>
      <c r="AC168" s="37"/>
      <c r="AD168" s="39"/>
    </row>
    <row r="169" spans="2:33" x14ac:dyDescent="0.2">
      <c r="B169" s="36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7"/>
      <c r="AB169" s="38"/>
      <c r="AC169" s="37"/>
      <c r="AD169" s="39"/>
    </row>
    <row r="170" spans="2:33" x14ac:dyDescent="0.2">
      <c r="B170" s="36"/>
      <c r="C170" s="3"/>
      <c r="D170" s="3" t="s">
        <v>39</v>
      </c>
      <c r="E170" s="3" t="s">
        <v>106</v>
      </c>
      <c r="F170" s="3"/>
      <c r="G170" s="3"/>
      <c r="H170" s="3"/>
      <c r="I170" s="3"/>
      <c r="J170" s="3"/>
      <c r="K170" s="3" t="s">
        <v>100</v>
      </c>
      <c r="L170" s="543" t="s">
        <v>107</v>
      </c>
      <c r="M170" s="543"/>
      <c r="N170" s="543"/>
      <c r="O170" s="543"/>
      <c r="P170" s="543"/>
      <c r="Q170" s="42"/>
      <c r="R170" s="3"/>
      <c r="S170" s="3"/>
      <c r="T170" s="3"/>
      <c r="U170" s="3"/>
      <c r="V170" s="3"/>
      <c r="W170" s="3"/>
      <c r="X170" s="3"/>
      <c r="Y170" s="3"/>
      <c r="Z170" s="3"/>
      <c r="AA170" s="37" t="s">
        <v>13</v>
      </c>
      <c r="AB170" s="38">
        <f>(0.002*AB158)/AB157</f>
        <v>12</v>
      </c>
      <c r="AC170" s="37"/>
      <c r="AD170" s="39"/>
    </row>
    <row r="171" spans="2:33" x14ac:dyDescent="0.2">
      <c r="B171" s="36"/>
      <c r="C171" s="3"/>
      <c r="D171" s="3"/>
      <c r="E171" s="3"/>
      <c r="F171" s="3"/>
      <c r="G171" s="3"/>
      <c r="H171" s="3"/>
      <c r="I171" s="3"/>
      <c r="J171" s="3"/>
      <c r="K171" s="3"/>
      <c r="L171" s="545" t="s">
        <v>93</v>
      </c>
      <c r="M171" s="545"/>
      <c r="N171" s="545"/>
      <c r="O171" s="545"/>
      <c r="P171" s="545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7"/>
      <c r="AB171" s="38"/>
      <c r="AC171" s="37"/>
      <c r="AD171" s="39"/>
    </row>
    <row r="172" spans="2:33" x14ac:dyDescent="0.2">
      <c r="B172" s="36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7"/>
      <c r="AB172" s="38"/>
      <c r="AC172" s="37"/>
      <c r="AD172" s="39"/>
    </row>
    <row r="173" spans="2:33" x14ac:dyDescent="0.2">
      <c r="B173" s="36"/>
      <c r="C173" s="3"/>
      <c r="D173" s="3" t="s">
        <v>108</v>
      </c>
      <c r="E173" s="3"/>
      <c r="F173" s="3"/>
      <c r="G173" s="3"/>
      <c r="H173" s="3"/>
      <c r="I173" s="3"/>
      <c r="J173" s="3"/>
      <c r="K173" s="3"/>
      <c r="L173" s="3"/>
      <c r="M173" s="3" t="s">
        <v>100</v>
      </c>
      <c r="N173" s="3" t="s">
        <v>109</v>
      </c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7" t="s">
        <v>14</v>
      </c>
      <c r="AB173" s="38">
        <f>AB167+AB170</f>
        <v>2575.5164835164837</v>
      </c>
      <c r="AC173" s="37" t="s">
        <v>89</v>
      </c>
      <c r="AD173" s="39"/>
    </row>
    <row r="174" spans="2:33" x14ac:dyDescent="0.2">
      <c r="B174" s="36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7"/>
      <c r="AB174" s="38"/>
      <c r="AC174" s="37"/>
      <c r="AD174" s="39"/>
    </row>
    <row r="175" spans="2:33" x14ac:dyDescent="0.2">
      <c r="B175" s="26" t="s">
        <v>10</v>
      </c>
      <c r="C175" s="3"/>
      <c r="D175" s="18" t="s">
        <v>110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7"/>
      <c r="AB175" s="38"/>
      <c r="AC175" s="37"/>
      <c r="AD175" s="39"/>
    </row>
    <row r="176" spans="2:33" x14ac:dyDescent="0.2">
      <c r="B176" s="36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7"/>
      <c r="AB176" s="38"/>
      <c r="AC176" s="37"/>
      <c r="AD176" s="39"/>
    </row>
    <row r="177" spans="2:30" x14ac:dyDescent="0.2">
      <c r="B177" s="36" t="s">
        <v>72</v>
      </c>
      <c r="C177" s="3"/>
      <c r="D177" s="3" t="s">
        <v>111</v>
      </c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7" t="s">
        <v>15</v>
      </c>
      <c r="AB177" s="38">
        <f>0.12*AB151*AB200</f>
        <v>6600</v>
      </c>
      <c r="AC177" s="37" t="s">
        <v>89</v>
      </c>
      <c r="AD177" s="39"/>
    </row>
    <row r="178" spans="2:30" x14ac:dyDescent="0.2">
      <c r="B178" s="36"/>
      <c r="C178" s="3"/>
      <c r="D178" s="4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7"/>
      <c r="AB178" s="38"/>
      <c r="AC178" s="37"/>
      <c r="AD178" s="39"/>
    </row>
    <row r="179" spans="2:30" x14ac:dyDescent="0.2">
      <c r="B179" s="36" t="s">
        <v>75</v>
      </c>
      <c r="C179" s="3"/>
      <c r="D179" s="3" t="s">
        <v>112</v>
      </c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7" t="s">
        <v>42</v>
      </c>
      <c r="AB179" s="38">
        <f>0.025*AB151*AB201</f>
        <v>3162.5</v>
      </c>
      <c r="AC179" s="37" t="s">
        <v>89</v>
      </c>
      <c r="AD179" s="39"/>
    </row>
    <row r="180" spans="2:30" x14ac:dyDescent="0.2">
      <c r="B180" s="36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7"/>
      <c r="AB180" s="38"/>
      <c r="AC180" s="37"/>
      <c r="AD180" s="39"/>
    </row>
    <row r="181" spans="2:30" x14ac:dyDescent="0.2">
      <c r="B181" s="36" t="s">
        <v>78</v>
      </c>
      <c r="C181" s="3"/>
      <c r="D181" s="3" t="s">
        <v>113</v>
      </c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543" t="s">
        <v>114</v>
      </c>
      <c r="P181" s="543"/>
      <c r="Q181" s="543"/>
      <c r="R181" s="543"/>
      <c r="S181" s="543"/>
      <c r="T181" s="543"/>
      <c r="U181" s="543"/>
      <c r="V181" s="543"/>
      <c r="W181" s="543"/>
      <c r="X181" s="42"/>
      <c r="Y181" s="42"/>
      <c r="Z181" s="3"/>
      <c r="AA181" s="37" t="s">
        <v>115</v>
      </c>
      <c r="AB181" s="38">
        <f>(0.125*AB158)/AB157</f>
        <v>750</v>
      </c>
      <c r="AC181" s="37" t="s">
        <v>89</v>
      </c>
      <c r="AD181" s="39"/>
    </row>
    <row r="182" spans="2:30" x14ac:dyDescent="0.2">
      <c r="B182" s="36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544" t="s">
        <v>93</v>
      </c>
      <c r="P182" s="544"/>
      <c r="Q182" s="544"/>
      <c r="R182" s="544"/>
      <c r="S182" s="544"/>
      <c r="T182" s="544"/>
      <c r="U182" s="544"/>
      <c r="V182" s="544"/>
      <c r="W182" s="544"/>
      <c r="X182" s="42"/>
      <c r="Y182" s="42"/>
      <c r="Z182" s="3"/>
      <c r="AA182" s="37"/>
      <c r="AB182" s="38"/>
      <c r="AC182" s="37"/>
      <c r="AD182" s="39"/>
    </row>
    <row r="183" spans="2:30" x14ac:dyDescent="0.2">
      <c r="B183" s="36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5"/>
      <c r="P183" s="5"/>
      <c r="Q183" s="5"/>
      <c r="R183" s="5"/>
      <c r="S183" s="5"/>
      <c r="T183" s="5"/>
      <c r="U183" s="5"/>
      <c r="V183" s="5"/>
      <c r="W183" s="5"/>
      <c r="X183" s="42"/>
      <c r="Y183" s="42"/>
      <c r="Z183" s="3"/>
      <c r="AA183" s="37"/>
      <c r="AB183" s="38"/>
      <c r="AC183" s="37"/>
      <c r="AD183" s="39"/>
    </row>
    <row r="184" spans="2:30" x14ac:dyDescent="0.2">
      <c r="B184" s="36" t="s">
        <v>90</v>
      </c>
      <c r="C184" s="3"/>
      <c r="D184" s="45" t="s">
        <v>116</v>
      </c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543" t="s">
        <v>117</v>
      </c>
      <c r="P184" s="543"/>
      <c r="Q184" s="543"/>
      <c r="R184" s="543"/>
      <c r="S184" s="543"/>
      <c r="T184" s="543"/>
      <c r="U184" s="543"/>
      <c r="V184" s="543"/>
      <c r="W184" s="543"/>
      <c r="X184" s="42"/>
      <c r="Y184" s="42"/>
      <c r="Z184" s="3"/>
      <c r="AA184" s="37" t="s">
        <v>55</v>
      </c>
      <c r="AB184" s="38">
        <f>(0.0875*AB155)/AB157</f>
        <v>525</v>
      </c>
      <c r="AC184" s="37" t="s">
        <v>89</v>
      </c>
      <c r="AD184" s="39"/>
    </row>
    <row r="185" spans="2:30" x14ac:dyDescent="0.2">
      <c r="B185" s="36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544" t="s">
        <v>93</v>
      </c>
      <c r="P185" s="544"/>
      <c r="Q185" s="544"/>
      <c r="R185" s="544"/>
      <c r="S185" s="544"/>
      <c r="T185" s="544"/>
      <c r="U185" s="544"/>
      <c r="V185" s="544"/>
      <c r="W185" s="544"/>
      <c r="X185" s="42"/>
      <c r="Y185" s="42"/>
      <c r="Z185" s="3"/>
      <c r="AA185" s="37"/>
      <c r="AB185" s="38"/>
      <c r="AC185" s="37"/>
      <c r="AD185" s="39"/>
    </row>
    <row r="186" spans="2:30" x14ac:dyDescent="0.2">
      <c r="B186" s="36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7"/>
      <c r="AB186" s="38"/>
      <c r="AC186" s="37"/>
      <c r="AD186" s="39"/>
    </row>
    <row r="187" spans="2:30" x14ac:dyDescent="0.2">
      <c r="B187" s="36" t="s">
        <v>118</v>
      </c>
      <c r="C187" s="3"/>
      <c r="D187" s="3" t="s">
        <v>119</v>
      </c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7" t="s">
        <v>43</v>
      </c>
      <c r="AB187" s="38">
        <f>1*AB197</f>
        <v>9000</v>
      </c>
      <c r="AC187" s="37" t="s">
        <v>89</v>
      </c>
      <c r="AD187" s="39"/>
    </row>
    <row r="188" spans="2:30" x14ac:dyDescent="0.2">
      <c r="B188" s="36" t="s">
        <v>120</v>
      </c>
      <c r="C188" s="3"/>
      <c r="D188" s="3" t="s">
        <v>121</v>
      </c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7" t="s">
        <v>122</v>
      </c>
      <c r="AB188" s="38">
        <f>1*AB198</f>
        <v>9714.2857142857138</v>
      </c>
      <c r="AC188" s="37" t="s">
        <v>89</v>
      </c>
      <c r="AD188" s="39"/>
    </row>
    <row r="189" spans="2:30" x14ac:dyDescent="0.2">
      <c r="B189" s="36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7"/>
      <c r="AB189" s="38"/>
      <c r="AC189" s="37"/>
      <c r="AD189" s="39"/>
    </row>
    <row r="190" spans="2:30" x14ac:dyDescent="0.2">
      <c r="B190" s="36"/>
      <c r="C190" s="3"/>
      <c r="D190" s="3" t="s">
        <v>123</v>
      </c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7" t="s">
        <v>124</v>
      </c>
      <c r="AB190" s="38">
        <f>AB177+AB179+AB181+AB187+AB188+AB184</f>
        <v>29751.785714285714</v>
      </c>
      <c r="AC190" s="37" t="s">
        <v>89</v>
      </c>
      <c r="AD190" s="39"/>
    </row>
    <row r="191" spans="2:30" ht="13.5" thickBot="1" x14ac:dyDescent="0.25">
      <c r="B191" s="36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7"/>
      <c r="AB191" s="38"/>
      <c r="AC191" s="37"/>
      <c r="AD191" s="39"/>
    </row>
    <row r="192" spans="2:30" ht="13.5" thickBot="1" x14ac:dyDescent="0.25">
      <c r="B192" s="26" t="s">
        <v>11</v>
      </c>
      <c r="C192" s="3"/>
      <c r="D192" s="18" t="s">
        <v>125</v>
      </c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46" t="s">
        <v>126</v>
      </c>
      <c r="AB192" s="47">
        <f>AB173+AB190</f>
        <v>32327.302197802197</v>
      </c>
      <c r="AC192" s="46" t="s">
        <v>89</v>
      </c>
      <c r="AD192" s="39"/>
    </row>
    <row r="193" spans="2:30" x14ac:dyDescent="0.2">
      <c r="B193" s="36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7"/>
      <c r="AB193" s="38"/>
      <c r="AC193" s="37"/>
      <c r="AD193" s="39"/>
    </row>
    <row r="194" spans="2:30" x14ac:dyDescent="0.2">
      <c r="B194" s="36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7"/>
      <c r="AB194" s="38"/>
      <c r="AC194" s="37"/>
      <c r="AD194" s="39"/>
    </row>
    <row r="195" spans="2:30" x14ac:dyDescent="0.2">
      <c r="B195" s="26" t="s">
        <v>16</v>
      </c>
      <c r="C195" s="18"/>
      <c r="D195" s="18" t="s">
        <v>127</v>
      </c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7"/>
      <c r="AB195" s="38"/>
      <c r="AC195" s="37"/>
      <c r="AD195" s="39"/>
    </row>
    <row r="196" spans="2:30" x14ac:dyDescent="0.2">
      <c r="B196" s="36" t="s">
        <v>72</v>
      </c>
      <c r="C196" s="3"/>
      <c r="D196" s="3" t="s">
        <v>128</v>
      </c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7" t="s">
        <v>129</v>
      </c>
      <c r="AB196" s="38">
        <v>20</v>
      </c>
      <c r="AC196" s="37" t="s">
        <v>130</v>
      </c>
      <c r="AD196" s="39"/>
    </row>
    <row r="197" spans="2:30" x14ac:dyDescent="0.2">
      <c r="B197" s="36" t="s">
        <v>75</v>
      </c>
      <c r="C197" s="3"/>
      <c r="D197" s="3" t="s">
        <v>131</v>
      </c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7" t="s">
        <v>132</v>
      </c>
      <c r="AB197" s="38">
        <f>'[14]Daftar Upah'!$F$17/7</f>
        <v>9000</v>
      </c>
      <c r="AC197" s="37" t="s">
        <v>133</v>
      </c>
      <c r="AD197" s="39"/>
    </row>
    <row r="198" spans="2:30" x14ac:dyDescent="0.2">
      <c r="B198" s="36" t="s">
        <v>78</v>
      </c>
      <c r="C198" s="3"/>
      <c r="D198" s="3" t="s">
        <v>134</v>
      </c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7" t="s">
        <v>135</v>
      </c>
      <c r="AB198" s="38">
        <f>'[14]Daftar Upah'!$F$16/7</f>
        <v>9714.2857142857138</v>
      </c>
      <c r="AC198" s="37" t="s">
        <v>133</v>
      </c>
      <c r="AD198" s="39"/>
    </row>
    <row r="199" spans="2:30" x14ac:dyDescent="0.2">
      <c r="B199" s="36" t="s">
        <v>82</v>
      </c>
      <c r="C199" s="3"/>
      <c r="D199" s="3" t="s">
        <v>136</v>
      </c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7" t="s">
        <v>137</v>
      </c>
      <c r="AB199" s="38">
        <f>AB200</f>
        <v>11000</v>
      </c>
      <c r="AC199" s="37" t="s">
        <v>40</v>
      </c>
      <c r="AD199" s="39"/>
    </row>
    <row r="200" spans="2:30" x14ac:dyDescent="0.2">
      <c r="B200" s="36" t="s">
        <v>90</v>
      </c>
      <c r="C200" s="3"/>
      <c r="D200" s="3" t="s">
        <v>138</v>
      </c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7" t="s">
        <v>139</v>
      </c>
      <c r="AB200" s="38">
        <f>'[14]Daftar Bahan'!$G$11</f>
        <v>11000</v>
      </c>
      <c r="AC200" s="37" t="s">
        <v>40</v>
      </c>
      <c r="AD200" s="39"/>
    </row>
    <row r="201" spans="2:30" x14ac:dyDescent="0.2">
      <c r="B201" s="36" t="s">
        <v>118</v>
      </c>
      <c r="C201" s="3"/>
      <c r="D201" s="3" t="s">
        <v>53</v>
      </c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7" t="s">
        <v>140</v>
      </c>
      <c r="AB201" s="38">
        <f>'[14]Daftar Bahan'!$G$12</f>
        <v>25300</v>
      </c>
      <c r="AC201" s="37" t="s">
        <v>40</v>
      </c>
      <c r="AD201" s="39"/>
    </row>
    <row r="202" spans="2:30" x14ac:dyDescent="0.2">
      <c r="B202" s="36" t="s">
        <v>120</v>
      </c>
      <c r="C202" s="3"/>
      <c r="D202" s="3" t="s">
        <v>141</v>
      </c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7"/>
      <c r="AB202" s="38"/>
      <c r="AC202" s="37"/>
      <c r="AD202" s="39"/>
    </row>
    <row r="203" spans="2:30" x14ac:dyDescent="0.2">
      <c r="B203" s="36"/>
      <c r="C203" s="3"/>
      <c r="D203" s="3" t="s">
        <v>142</v>
      </c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7"/>
      <c r="AB203" s="38"/>
      <c r="AC203" s="37"/>
      <c r="AD203" s="39"/>
    </row>
    <row r="204" spans="2:30" x14ac:dyDescent="0.2">
      <c r="B204" s="49"/>
      <c r="C204" s="50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2"/>
      <c r="AA204" s="53"/>
      <c r="AB204" s="54"/>
      <c r="AC204" s="53"/>
      <c r="AD204" s="55"/>
    </row>
    <row r="205" spans="2:30" x14ac:dyDescent="0.2">
      <c r="B205" s="56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57"/>
      <c r="AB205" s="58"/>
      <c r="AC205" s="57"/>
      <c r="AD205" s="7"/>
    </row>
    <row r="209" spans="2:31" ht="15" x14ac:dyDescent="0.2">
      <c r="B209" s="546" t="s">
        <v>65</v>
      </c>
      <c r="C209" s="546"/>
      <c r="D209" s="546"/>
      <c r="E209" s="546"/>
      <c r="F209" s="546"/>
      <c r="G209" s="546"/>
      <c r="H209" s="546"/>
      <c r="I209" s="546"/>
      <c r="J209" s="546"/>
      <c r="K209" s="546"/>
      <c r="L209" s="546"/>
      <c r="M209" s="546"/>
      <c r="N209" s="546"/>
      <c r="O209" s="546"/>
      <c r="P209" s="546"/>
      <c r="Q209" s="546"/>
      <c r="R209" s="546"/>
      <c r="S209" s="546"/>
      <c r="T209" s="546"/>
      <c r="U209" s="546"/>
      <c r="V209" s="546"/>
      <c r="W209" s="546"/>
      <c r="X209" s="546"/>
      <c r="Y209" s="546"/>
      <c r="Z209" s="546"/>
      <c r="AA209" s="546"/>
      <c r="AB209" s="546"/>
      <c r="AC209" s="546"/>
      <c r="AD209" s="546"/>
      <c r="AE209" s="7"/>
    </row>
    <row r="210" spans="2:3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10"/>
      <c r="AC210" s="9"/>
      <c r="AD210" s="9"/>
      <c r="AE210" s="7"/>
    </row>
    <row r="211" spans="2:31" x14ac:dyDescent="0.2">
      <c r="B211" s="11" t="s">
        <v>1</v>
      </c>
      <c r="C211" s="12"/>
      <c r="D211" s="12"/>
      <c r="E211" s="12"/>
      <c r="F211" s="12"/>
      <c r="G211" s="11"/>
      <c r="H211" s="11"/>
      <c r="I211" s="13"/>
      <c r="J211" s="11" t="s">
        <v>0</v>
      </c>
      <c r="K211" s="13" t="e">
        <f>K4</f>
        <v>#REF!</v>
      </c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10"/>
      <c r="AC211" s="9"/>
      <c r="AD211" s="9"/>
      <c r="AE211" s="7"/>
    </row>
    <row r="212" spans="2:31" x14ac:dyDescent="0.2">
      <c r="B212" s="11"/>
      <c r="C212" s="12"/>
      <c r="D212" s="12"/>
      <c r="E212" s="12"/>
      <c r="F212" s="12"/>
      <c r="G212" s="11"/>
      <c r="H212" s="11"/>
      <c r="I212" s="13"/>
      <c r="J212" s="11"/>
      <c r="K212" s="13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10"/>
      <c r="AC212" s="9"/>
      <c r="AD212" s="9"/>
      <c r="AE212" s="7"/>
    </row>
    <row r="213" spans="2:31" x14ac:dyDescent="0.2">
      <c r="B213" s="15" t="s">
        <v>3</v>
      </c>
      <c r="C213" s="3"/>
      <c r="D213" s="3"/>
      <c r="E213" s="3"/>
      <c r="F213" s="3"/>
      <c r="G213" s="3"/>
      <c r="H213" s="3"/>
      <c r="I213" s="3"/>
      <c r="J213" s="3" t="s">
        <v>0</v>
      </c>
      <c r="K213" s="547">
        <v>2017</v>
      </c>
      <c r="L213" s="547"/>
      <c r="M213" s="547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5"/>
      <c r="AB213" s="16"/>
      <c r="AC213" s="17"/>
      <c r="AD213" s="18"/>
      <c r="AE213" s="7"/>
    </row>
    <row r="214" spans="2:31" x14ac:dyDescent="0.2">
      <c r="B214" s="15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5"/>
      <c r="AB214" s="16"/>
      <c r="AC214" s="17"/>
      <c r="AD214" s="18"/>
      <c r="AE214" s="7"/>
    </row>
    <row r="215" spans="2:31" x14ac:dyDescent="0.2">
      <c r="B215" s="19"/>
      <c r="C215" s="20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2"/>
      <c r="AA215" s="23"/>
      <c r="AB215" s="24"/>
      <c r="AC215" s="23"/>
      <c r="AD215" s="25"/>
      <c r="AE215" s="7"/>
    </row>
    <row r="216" spans="2:31" x14ac:dyDescent="0.2">
      <c r="B216" s="26" t="s">
        <v>5</v>
      </c>
      <c r="C216" s="548" t="s">
        <v>66</v>
      </c>
      <c r="D216" s="549"/>
      <c r="E216" s="549"/>
      <c r="F216" s="549"/>
      <c r="G216" s="549"/>
      <c r="H216" s="549"/>
      <c r="I216" s="549"/>
      <c r="J216" s="549"/>
      <c r="K216" s="549"/>
      <c r="L216" s="549"/>
      <c r="M216" s="549"/>
      <c r="N216" s="549"/>
      <c r="O216" s="549"/>
      <c r="P216" s="549"/>
      <c r="Q216" s="549"/>
      <c r="R216" s="549"/>
      <c r="S216" s="549"/>
      <c r="T216" s="549"/>
      <c r="U216" s="549"/>
      <c r="V216" s="549"/>
      <c r="W216" s="549"/>
      <c r="X216" s="549"/>
      <c r="Y216" s="549"/>
      <c r="Z216" s="550"/>
      <c r="AA216" s="27" t="s">
        <v>67</v>
      </c>
      <c r="AB216" s="28" t="s">
        <v>68</v>
      </c>
      <c r="AC216" s="27" t="s">
        <v>69</v>
      </c>
      <c r="AD216" s="27" t="s">
        <v>70</v>
      </c>
      <c r="AE216" s="7"/>
    </row>
    <row r="217" spans="2:31" ht="13.5" thickBot="1" x14ac:dyDescent="0.25">
      <c r="B217" s="29"/>
      <c r="C217" s="30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2"/>
      <c r="AA217" s="33"/>
      <c r="AB217" s="34"/>
      <c r="AC217" s="33"/>
      <c r="AD217" s="35"/>
      <c r="AE217" s="7"/>
    </row>
    <row r="218" spans="2:31" ht="13.5" thickTop="1" x14ac:dyDescent="0.2">
      <c r="B218" s="36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7"/>
      <c r="AB218" s="38"/>
      <c r="AC218" s="37"/>
      <c r="AD218" s="39"/>
    </row>
    <row r="219" spans="2:31" ht="13.5" thickBot="1" x14ac:dyDescent="0.25">
      <c r="B219" s="26" t="s">
        <v>9</v>
      </c>
      <c r="C219" s="18"/>
      <c r="D219" s="18" t="s">
        <v>71</v>
      </c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7"/>
      <c r="AB219" s="38"/>
      <c r="AC219" s="37"/>
      <c r="AD219" s="39"/>
    </row>
    <row r="220" spans="2:31" ht="13.5" thickBot="1" x14ac:dyDescent="0.25">
      <c r="B220" s="36" t="s">
        <v>72</v>
      </c>
      <c r="C220" s="3"/>
      <c r="D220" s="3" t="s">
        <v>73</v>
      </c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551" t="s">
        <v>145</v>
      </c>
      <c r="AB220" s="552"/>
      <c r="AC220" s="553"/>
      <c r="AD220" s="39"/>
    </row>
    <row r="221" spans="2:31" x14ac:dyDescent="0.2">
      <c r="B221" s="36" t="s">
        <v>75</v>
      </c>
      <c r="C221" s="3"/>
      <c r="D221" s="3" t="s">
        <v>57</v>
      </c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7" t="s">
        <v>76</v>
      </c>
      <c r="AB221" s="38">
        <v>550</v>
      </c>
      <c r="AC221" s="37" t="s">
        <v>77</v>
      </c>
      <c r="AD221" s="39"/>
    </row>
    <row r="222" spans="2:31" x14ac:dyDescent="0.2">
      <c r="B222" s="36" t="s">
        <v>78</v>
      </c>
      <c r="C222" s="3"/>
      <c r="D222" s="3" t="s">
        <v>79</v>
      </c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7" t="s">
        <v>80</v>
      </c>
      <c r="AB222" s="38">
        <v>60</v>
      </c>
      <c r="AC222" s="37" t="s">
        <v>81</v>
      </c>
      <c r="AD222" s="39"/>
    </row>
    <row r="223" spans="2:31" x14ac:dyDescent="0.2">
      <c r="B223" s="36" t="s">
        <v>82</v>
      </c>
      <c r="C223" s="3"/>
      <c r="D223" s="3" t="s">
        <v>83</v>
      </c>
      <c r="E223" s="3"/>
      <c r="F223" s="3"/>
      <c r="G223" s="3"/>
      <c r="H223" s="3"/>
      <c r="I223" s="3"/>
      <c r="J223" s="3"/>
      <c r="K223" s="3"/>
      <c r="L223" s="3" t="s">
        <v>0</v>
      </c>
      <c r="M223" s="3" t="s">
        <v>38</v>
      </c>
      <c r="N223" s="3" t="s">
        <v>84</v>
      </c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7" t="s">
        <v>24</v>
      </c>
      <c r="AB223" s="38">
        <v>10</v>
      </c>
      <c r="AC223" s="37" t="s">
        <v>85</v>
      </c>
      <c r="AD223" s="39"/>
    </row>
    <row r="224" spans="2:31" x14ac:dyDescent="0.2">
      <c r="B224" s="36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 t="s">
        <v>39</v>
      </c>
      <c r="N224" s="3" t="s">
        <v>86</v>
      </c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7" t="s">
        <v>87</v>
      </c>
      <c r="AB224" s="38">
        <v>2000</v>
      </c>
      <c r="AC224" s="37" t="s">
        <v>54</v>
      </c>
      <c r="AD224" s="39"/>
    </row>
    <row r="225" spans="2:33" x14ac:dyDescent="0.2">
      <c r="B225" s="36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 t="s">
        <v>58</v>
      </c>
      <c r="N225" s="3" t="s">
        <v>88</v>
      </c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7" t="s">
        <v>33</v>
      </c>
      <c r="AB225" s="38">
        <v>750000000</v>
      </c>
      <c r="AC225" s="37" t="s">
        <v>89</v>
      </c>
      <c r="AD225" s="39"/>
    </row>
    <row r="226" spans="2:33" x14ac:dyDescent="0.2">
      <c r="B226" s="36" t="s">
        <v>90</v>
      </c>
      <c r="C226" s="3"/>
      <c r="D226" s="3" t="s">
        <v>91</v>
      </c>
      <c r="E226" s="3"/>
      <c r="F226" s="3"/>
      <c r="G226" s="3"/>
      <c r="H226" s="3"/>
      <c r="I226" s="3"/>
      <c r="J226" s="3"/>
      <c r="K226" s="3"/>
      <c r="L226" s="3" t="s">
        <v>0</v>
      </c>
      <c r="M226" s="3" t="s">
        <v>38</v>
      </c>
      <c r="N226" s="3" t="s">
        <v>84</v>
      </c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7" t="s">
        <v>92</v>
      </c>
      <c r="AB226" s="38">
        <f>+AB223</f>
        <v>10</v>
      </c>
      <c r="AC226" s="37" t="s">
        <v>85</v>
      </c>
      <c r="AD226" s="39"/>
    </row>
    <row r="227" spans="2:33" x14ac:dyDescent="0.2">
      <c r="B227" s="36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 t="s">
        <v>39</v>
      </c>
      <c r="N227" s="3" t="s">
        <v>86</v>
      </c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7" t="s">
        <v>93</v>
      </c>
      <c r="AB227" s="38">
        <f>+AB224</f>
        <v>2000</v>
      </c>
      <c r="AC227" s="37" t="s">
        <v>54</v>
      </c>
      <c r="AD227" s="39"/>
    </row>
    <row r="228" spans="2:33" ht="14.25" x14ac:dyDescent="0.2">
      <c r="B228" s="36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 t="s">
        <v>58</v>
      </c>
      <c r="N228" s="3" t="s">
        <v>94</v>
      </c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7" t="s">
        <v>95</v>
      </c>
      <c r="AB228" s="38">
        <f>+AB225</f>
        <v>750000000</v>
      </c>
      <c r="AC228" s="37" t="s">
        <v>89</v>
      </c>
      <c r="AD228" s="39"/>
    </row>
    <row r="229" spans="2:33" x14ac:dyDescent="0.2">
      <c r="B229" s="36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7"/>
      <c r="AB229" s="38"/>
      <c r="AC229" s="37"/>
      <c r="AD229" s="39"/>
    </row>
    <row r="230" spans="2:33" x14ac:dyDescent="0.2">
      <c r="B230" s="26" t="s">
        <v>4</v>
      </c>
      <c r="C230" s="3"/>
      <c r="D230" s="18" t="s">
        <v>96</v>
      </c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7"/>
      <c r="AB230" s="38"/>
      <c r="AC230" s="37"/>
      <c r="AD230" s="39"/>
    </row>
    <row r="231" spans="2:33" x14ac:dyDescent="0.2">
      <c r="B231" s="36" t="s">
        <v>72</v>
      </c>
      <c r="C231" s="3"/>
      <c r="D231" s="3" t="s">
        <v>97</v>
      </c>
      <c r="E231" s="3"/>
      <c r="F231" s="3"/>
      <c r="G231" s="3"/>
      <c r="H231" s="3"/>
      <c r="I231" s="3"/>
      <c r="J231" s="3"/>
      <c r="K231" s="3"/>
      <c r="L231" s="3"/>
      <c r="M231" s="3" t="s">
        <v>98</v>
      </c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7" t="s">
        <v>34</v>
      </c>
      <c r="AB231" s="38">
        <f>0.1*AB228</f>
        <v>75000000</v>
      </c>
      <c r="AC231" s="37" t="s">
        <v>89</v>
      </c>
      <c r="AD231" s="39"/>
    </row>
    <row r="232" spans="2:33" x14ac:dyDescent="0.2">
      <c r="B232" s="36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7"/>
      <c r="AB232" s="38"/>
      <c r="AC232" s="37"/>
      <c r="AD232" s="39"/>
      <c r="AG232" s="40">
        <f>AB266/100</f>
        <v>0.2</v>
      </c>
    </row>
    <row r="233" spans="2:33" ht="14.25" x14ac:dyDescent="0.2">
      <c r="B233" s="36" t="s">
        <v>75</v>
      </c>
      <c r="C233" s="3"/>
      <c r="D233" s="3" t="s">
        <v>99</v>
      </c>
      <c r="E233" s="3"/>
      <c r="F233" s="3"/>
      <c r="G233" s="3"/>
      <c r="H233" s="3"/>
      <c r="I233" s="3"/>
      <c r="J233" s="3"/>
      <c r="K233" s="3"/>
      <c r="L233" s="3"/>
      <c r="M233" s="3"/>
      <c r="N233" s="3" t="s">
        <v>100</v>
      </c>
      <c r="O233" s="543" t="s">
        <v>101</v>
      </c>
      <c r="P233" s="543"/>
      <c r="Q233" s="543"/>
      <c r="R233" s="543"/>
      <c r="S233" s="543"/>
      <c r="T233" s="543"/>
      <c r="U233" s="3"/>
      <c r="V233" s="3"/>
      <c r="W233" s="3"/>
      <c r="X233" s="3"/>
      <c r="Y233" s="3"/>
      <c r="Z233" s="3"/>
      <c r="AA233" s="37" t="s">
        <v>35</v>
      </c>
      <c r="AB233" s="41">
        <f>AG233/AG234</f>
        <v>0.23852275688285915</v>
      </c>
      <c r="AC233" s="37"/>
      <c r="AD233" s="39"/>
      <c r="AG233" s="40">
        <f>AG232*((1+AG232)^AB226)</f>
        <v>1.2383472844799999</v>
      </c>
    </row>
    <row r="234" spans="2:33" ht="14.25" x14ac:dyDescent="0.2">
      <c r="B234" s="36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544" t="s">
        <v>102</v>
      </c>
      <c r="P234" s="544"/>
      <c r="Q234" s="544"/>
      <c r="R234" s="544"/>
      <c r="S234" s="544"/>
      <c r="T234" s="544"/>
      <c r="U234" s="3"/>
      <c r="V234" s="3"/>
      <c r="W234" s="3"/>
      <c r="X234" s="3"/>
      <c r="Y234" s="3"/>
      <c r="Z234" s="3"/>
      <c r="AA234" s="37"/>
      <c r="AB234" s="38"/>
      <c r="AC234" s="37"/>
      <c r="AD234" s="39"/>
      <c r="AG234" s="40">
        <f>((1+AG232)^AB226)-1</f>
        <v>5.1917364223999991</v>
      </c>
    </row>
    <row r="235" spans="2:33" x14ac:dyDescent="0.2">
      <c r="B235" s="36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7"/>
      <c r="AB235" s="38"/>
      <c r="AC235" s="37"/>
      <c r="AD235" s="39"/>
    </row>
    <row r="236" spans="2:33" x14ac:dyDescent="0.2">
      <c r="B236" s="36" t="s">
        <v>78</v>
      </c>
      <c r="C236" s="3"/>
      <c r="D236" s="3" t="s">
        <v>103</v>
      </c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7"/>
      <c r="AB236" s="38"/>
      <c r="AC236" s="37"/>
      <c r="AD236" s="39"/>
    </row>
    <row r="237" spans="2:33" x14ac:dyDescent="0.2">
      <c r="B237" s="36"/>
      <c r="C237" s="3"/>
      <c r="D237" s="3" t="s">
        <v>38</v>
      </c>
      <c r="E237" s="3" t="s">
        <v>104</v>
      </c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 t="s">
        <v>100</v>
      </c>
      <c r="Q237" s="543" t="s">
        <v>105</v>
      </c>
      <c r="R237" s="543"/>
      <c r="S237" s="543"/>
      <c r="T237" s="543"/>
      <c r="U237" s="543"/>
      <c r="V237" s="543"/>
      <c r="W237" s="5"/>
      <c r="X237" s="5"/>
      <c r="Y237" s="3"/>
      <c r="Z237" s="3"/>
      <c r="AA237" s="37" t="s">
        <v>12</v>
      </c>
      <c r="AB237" s="38">
        <f>((AB228-AB231)*AB233)/AB227</f>
        <v>80501.430447964973</v>
      </c>
      <c r="AC237" s="37" t="s">
        <v>89</v>
      </c>
      <c r="AD237" s="39"/>
    </row>
    <row r="238" spans="2:33" x14ac:dyDescent="0.2">
      <c r="B238" s="36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545" t="s">
        <v>93</v>
      </c>
      <c r="R238" s="545"/>
      <c r="S238" s="545"/>
      <c r="T238" s="545"/>
      <c r="U238" s="545"/>
      <c r="V238" s="545"/>
      <c r="W238" s="5"/>
      <c r="X238" s="5"/>
      <c r="Y238" s="3"/>
      <c r="Z238" s="3"/>
      <c r="AA238" s="37"/>
      <c r="AB238" s="38"/>
      <c r="AC238" s="37"/>
      <c r="AD238" s="39"/>
    </row>
    <row r="239" spans="2:33" x14ac:dyDescent="0.2">
      <c r="B239" s="36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7"/>
      <c r="AB239" s="38"/>
      <c r="AC239" s="37"/>
      <c r="AD239" s="39"/>
    </row>
    <row r="240" spans="2:33" x14ac:dyDescent="0.2">
      <c r="B240" s="36"/>
      <c r="C240" s="3"/>
      <c r="D240" s="3" t="s">
        <v>39</v>
      </c>
      <c r="E240" s="3" t="s">
        <v>106</v>
      </c>
      <c r="F240" s="3"/>
      <c r="G240" s="3"/>
      <c r="H240" s="3"/>
      <c r="I240" s="3"/>
      <c r="J240" s="3"/>
      <c r="K240" s="3" t="s">
        <v>100</v>
      </c>
      <c r="L240" s="543" t="s">
        <v>107</v>
      </c>
      <c r="M240" s="543"/>
      <c r="N240" s="543"/>
      <c r="O240" s="543"/>
      <c r="P240" s="543"/>
      <c r="Q240" s="42"/>
      <c r="R240" s="3"/>
      <c r="S240" s="3"/>
      <c r="T240" s="3"/>
      <c r="U240" s="3"/>
      <c r="V240" s="3"/>
      <c r="W240" s="3"/>
      <c r="X240" s="3"/>
      <c r="Y240" s="3"/>
      <c r="Z240" s="3"/>
      <c r="AA240" s="37" t="s">
        <v>13</v>
      </c>
      <c r="AB240" s="38">
        <f>(0.002*AB228)/AB227</f>
        <v>750</v>
      </c>
      <c r="AC240" s="37"/>
      <c r="AD240" s="39"/>
    </row>
    <row r="241" spans="2:30" x14ac:dyDescent="0.2">
      <c r="B241" s="36"/>
      <c r="C241" s="3"/>
      <c r="D241" s="3"/>
      <c r="E241" s="3"/>
      <c r="F241" s="3"/>
      <c r="G241" s="3"/>
      <c r="H241" s="3"/>
      <c r="I241" s="3"/>
      <c r="J241" s="3"/>
      <c r="K241" s="3"/>
      <c r="L241" s="545" t="s">
        <v>93</v>
      </c>
      <c r="M241" s="545"/>
      <c r="N241" s="545"/>
      <c r="O241" s="545"/>
      <c r="P241" s="545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7"/>
      <c r="AB241" s="38"/>
      <c r="AC241" s="37"/>
      <c r="AD241" s="39"/>
    </row>
    <row r="242" spans="2:30" x14ac:dyDescent="0.2">
      <c r="B242" s="36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7"/>
      <c r="AB242" s="38"/>
      <c r="AC242" s="37"/>
      <c r="AD242" s="39"/>
    </row>
    <row r="243" spans="2:30" x14ac:dyDescent="0.2">
      <c r="B243" s="36"/>
      <c r="C243" s="3"/>
      <c r="D243" s="3" t="s">
        <v>108</v>
      </c>
      <c r="E243" s="3"/>
      <c r="F243" s="3"/>
      <c r="G243" s="3"/>
      <c r="H243" s="3"/>
      <c r="I243" s="3"/>
      <c r="J243" s="3"/>
      <c r="K243" s="3"/>
      <c r="L243" s="3"/>
      <c r="M243" s="3" t="s">
        <v>100</v>
      </c>
      <c r="N243" s="3" t="s">
        <v>109</v>
      </c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7" t="s">
        <v>14</v>
      </c>
      <c r="AB243" s="38">
        <f>AB237+AB240</f>
        <v>81251.430447964973</v>
      </c>
      <c r="AC243" s="37" t="s">
        <v>89</v>
      </c>
      <c r="AD243" s="39"/>
    </row>
    <row r="244" spans="2:30" x14ac:dyDescent="0.2">
      <c r="B244" s="36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7"/>
      <c r="AB244" s="38"/>
      <c r="AC244" s="37"/>
      <c r="AD244" s="39"/>
    </row>
    <row r="245" spans="2:30" x14ac:dyDescent="0.2">
      <c r="B245" s="26" t="s">
        <v>10</v>
      </c>
      <c r="C245" s="3"/>
      <c r="D245" s="18" t="s">
        <v>110</v>
      </c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7"/>
      <c r="AB245" s="38"/>
      <c r="AC245" s="37"/>
      <c r="AD245" s="39"/>
    </row>
    <row r="246" spans="2:30" x14ac:dyDescent="0.2">
      <c r="B246" s="36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7"/>
      <c r="AB246" s="38"/>
      <c r="AC246" s="37"/>
      <c r="AD246" s="39"/>
    </row>
    <row r="247" spans="2:30" x14ac:dyDescent="0.2">
      <c r="B247" s="36" t="s">
        <v>72</v>
      </c>
      <c r="C247" s="3"/>
      <c r="D247" s="3" t="s">
        <v>111</v>
      </c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7" t="s">
        <v>15</v>
      </c>
      <c r="AB247" s="38">
        <f>0.12*AB221*AB270</f>
        <v>726000</v>
      </c>
      <c r="AC247" s="37" t="s">
        <v>89</v>
      </c>
      <c r="AD247" s="39"/>
    </row>
    <row r="248" spans="2:30" x14ac:dyDescent="0.2">
      <c r="B248" s="36"/>
      <c r="C248" s="3"/>
      <c r="D248" s="4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7"/>
      <c r="AB248" s="38"/>
      <c r="AC248" s="37"/>
      <c r="AD248" s="39"/>
    </row>
    <row r="249" spans="2:30" x14ac:dyDescent="0.2">
      <c r="B249" s="36" t="s">
        <v>75</v>
      </c>
      <c r="C249" s="3"/>
      <c r="D249" s="3" t="s">
        <v>112</v>
      </c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7" t="s">
        <v>42</v>
      </c>
      <c r="AB249" s="38">
        <f>0.025*AB221*AB271</f>
        <v>347875</v>
      </c>
      <c r="AC249" s="37" t="s">
        <v>89</v>
      </c>
      <c r="AD249" s="39"/>
    </row>
    <row r="250" spans="2:30" x14ac:dyDescent="0.2">
      <c r="B250" s="36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7"/>
      <c r="AB250" s="38"/>
      <c r="AC250" s="37"/>
      <c r="AD250" s="39"/>
    </row>
    <row r="251" spans="2:30" x14ac:dyDescent="0.2">
      <c r="B251" s="36" t="s">
        <v>78</v>
      </c>
      <c r="C251" s="3"/>
      <c r="D251" s="3" t="s">
        <v>113</v>
      </c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543" t="s">
        <v>114</v>
      </c>
      <c r="P251" s="543"/>
      <c r="Q251" s="543"/>
      <c r="R251" s="543"/>
      <c r="S251" s="543"/>
      <c r="T251" s="543"/>
      <c r="U251" s="543"/>
      <c r="V251" s="543"/>
      <c r="W251" s="543"/>
      <c r="X251" s="42"/>
      <c r="Y251" s="42"/>
      <c r="Z251" s="3"/>
      <c r="AA251" s="37" t="s">
        <v>115</v>
      </c>
      <c r="AB251" s="38">
        <f>(0.125*AB228)/AB227</f>
        <v>46875</v>
      </c>
      <c r="AC251" s="37" t="s">
        <v>89</v>
      </c>
      <c r="AD251" s="39"/>
    </row>
    <row r="252" spans="2:30" x14ac:dyDescent="0.2">
      <c r="B252" s="36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544" t="s">
        <v>93</v>
      </c>
      <c r="P252" s="544"/>
      <c r="Q252" s="544"/>
      <c r="R252" s="544"/>
      <c r="S252" s="544"/>
      <c r="T252" s="544"/>
      <c r="U252" s="544"/>
      <c r="V252" s="544"/>
      <c r="W252" s="544"/>
      <c r="X252" s="42"/>
      <c r="Y252" s="42"/>
      <c r="Z252" s="3"/>
      <c r="AA252" s="37"/>
      <c r="AB252" s="38"/>
      <c r="AC252" s="37"/>
      <c r="AD252" s="39"/>
    </row>
    <row r="253" spans="2:30" x14ac:dyDescent="0.2">
      <c r="B253" s="36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5"/>
      <c r="P253" s="5"/>
      <c r="Q253" s="5"/>
      <c r="R253" s="5"/>
      <c r="S253" s="5"/>
      <c r="T253" s="5"/>
      <c r="U253" s="5"/>
      <c r="V253" s="5"/>
      <c r="W253" s="5"/>
      <c r="X253" s="42"/>
      <c r="Y253" s="42"/>
      <c r="Z253" s="3"/>
      <c r="AA253" s="37"/>
      <c r="AB253" s="38"/>
      <c r="AC253" s="37"/>
      <c r="AD253" s="39"/>
    </row>
    <row r="254" spans="2:30" x14ac:dyDescent="0.2">
      <c r="B254" s="36" t="s">
        <v>90</v>
      </c>
      <c r="C254" s="3"/>
      <c r="D254" s="45" t="s">
        <v>116</v>
      </c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543" t="s">
        <v>117</v>
      </c>
      <c r="P254" s="543"/>
      <c r="Q254" s="543"/>
      <c r="R254" s="543"/>
      <c r="S254" s="543"/>
      <c r="T254" s="543"/>
      <c r="U254" s="543"/>
      <c r="V254" s="543"/>
      <c r="W254" s="543"/>
      <c r="X254" s="42"/>
      <c r="Y254" s="42"/>
      <c r="Z254" s="3"/>
      <c r="AA254" s="37" t="s">
        <v>55</v>
      </c>
      <c r="AB254" s="38">
        <f>(0.0875*AB225)/AB227</f>
        <v>32812.499999999993</v>
      </c>
      <c r="AC254" s="37" t="s">
        <v>89</v>
      </c>
      <c r="AD254" s="39"/>
    </row>
    <row r="255" spans="2:30" x14ac:dyDescent="0.2">
      <c r="B255" s="36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544" t="s">
        <v>93</v>
      </c>
      <c r="P255" s="544"/>
      <c r="Q255" s="544"/>
      <c r="R255" s="544"/>
      <c r="S255" s="544"/>
      <c r="T255" s="544"/>
      <c r="U255" s="544"/>
      <c r="V255" s="544"/>
      <c r="W255" s="544"/>
      <c r="X255" s="42"/>
      <c r="Y255" s="42"/>
      <c r="Z255" s="3"/>
      <c r="AA255" s="37"/>
      <c r="AB255" s="38"/>
      <c r="AC255" s="37"/>
      <c r="AD255" s="39"/>
    </row>
    <row r="256" spans="2:30" x14ac:dyDescent="0.2">
      <c r="B256" s="36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7"/>
      <c r="AB256" s="38"/>
      <c r="AC256" s="37"/>
      <c r="AD256" s="39"/>
    </row>
    <row r="257" spans="2:30" x14ac:dyDescent="0.2">
      <c r="B257" s="36" t="s">
        <v>118</v>
      </c>
      <c r="C257" s="3"/>
      <c r="D257" s="3" t="s">
        <v>119</v>
      </c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7" t="s">
        <v>43</v>
      </c>
      <c r="AB257" s="38">
        <f>1*AB267</f>
        <v>9000</v>
      </c>
      <c r="AC257" s="37" t="s">
        <v>89</v>
      </c>
      <c r="AD257" s="39"/>
    </row>
    <row r="258" spans="2:30" x14ac:dyDescent="0.2">
      <c r="B258" s="36" t="s">
        <v>120</v>
      </c>
      <c r="C258" s="3"/>
      <c r="D258" s="3" t="s">
        <v>121</v>
      </c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7" t="s">
        <v>122</v>
      </c>
      <c r="AB258" s="38">
        <f>1*AB268</f>
        <v>9714.2857142857138</v>
      </c>
      <c r="AC258" s="37" t="s">
        <v>89</v>
      </c>
      <c r="AD258" s="39"/>
    </row>
    <row r="259" spans="2:30" x14ac:dyDescent="0.2">
      <c r="B259" s="36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7"/>
      <c r="AB259" s="38"/>
      <c r="AC259" s="37"/>
      <c r="AD259" s="39"/>
    </row>
    <row r="260" spans="2:30" x14ac:dyDescent="0.2">
      <c r="B260" s="36"/>
      <c r="C260" s="3"/>
      <c r="D260" s="3" t="s">
        <v>123</v>
      </c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7" t="s">
        <v>124</v>
      </c>
      <c r="AB260" s="38">
        <f>AB247+AB249+AB251+AB257+AB258+AB254</f>
        <v>1172276.7857142857</v>
      </c>
      <c r="AC260" s="37" t="s">
        <v>89</v>
      </c>
      <c r="AD260" s="39"/>
    </row>
    <row r="261" spans="2:30" ht="13.5" thickBot="1" x14ac:dyDescent="0.25">
      <c r="B261" s="36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7"/>
      <c r="AB261" s="38"/>
      <c r="AC261" s="37"/>
      <c r="AD261" s="39"/>
    </row>
    <row r="262" spans="2:30" ht="13.5" thickBot="1" x14ac:dyDescent="0.25">
      <c r="B262" s="26" t="s">
        <v>11</v>
      </c>
      <c r="C262" s="3"/>
      <c r="D262" s="18" t="s">
        <v>125</v>
      </c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46" t="s">
        <v>126</v>
      </c>
      <c r="AB262" s="47">
        <f>AB243+AB260</f>
        <v>1253528.2161622506</v>
      </c>
      <c r="AC262" s="46" t="s">
        <v>89</v>
      </c>
      <c r="AD262" s="39"/>
    </row>
    <row r="263" spans="2:30" x14ac:dyDescent="0.2">
      <c r="B263" s="36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7"/>
      <c r="AB263" s="38"/>
      <c r="AC263" s="37"/>
      <c r="AD263" s="39"/>
    </row>
    <row r="264" spans="2:30" x14ac:dyDescent="0.2">
      <c r="B264" s="36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7"/>
      <c r="AB264" s="38"/>
      <c r="AC264" s="37"/>
      <c r="AD264" s="39"/>
    </row>
    <row r="265" spans="2:30" x14ac:dyDescent="0.2">
      <c r="B265" s="26" t="s">
        <v>16</v>
      </c>
      <c r="C265" s="18"/>
      <c r="D265" s="18" t="s">
        <v>127</v>
      </c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7"/>
      <c r="AB265" s="38"/>
      <c r="AC265" s="37"/>
      <c r="AD265" s="39"/>
    </row>
    <row r="266" spans="2:30" x14ac:dyDescent="0.2">
      <c r="B266" s="36" t="s">
        <v>72</v>
      </c>
      <c r="C266" s="3"/>
      <c r="D266" s="3" t="s">
        <v>128</v>
      </c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7" t="s">
        <v>129</v>
      </c>
      <c r="AB266" s="38">
        <v>20</v>
      </c>
      <c r="AC266" s="37" t="s">
        <v>130</v>
      </c>
      <c r="AD266" s="39"/>
    </row>
    <row r="267" spans="2:30" x14ac:dyDescent="0.2">
      <c r="B267" s="36" t="s">
        <v>75</v>
      </c>
      <c r="C267" s="3"/>
      <c r="D267" s="3" t="s">
        <v>131</v>
      </c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7" t="s">
        <v>132</v>
      </c>
      <c r="AB267" s="38">
        <f>'[14]Daftar Upah'!$F$17/7</f>
        <v>9000</v>
      </c>
      <c r="AC267" s="37" t="s">
        <v>133</v>
      </c>
      <c r="AD267" s="39"/>
    </row>
    <row r="268" spans="2:30" x14ac:dyDescent="0.2">
      <c r="B268" s="36" t="s">
        <v>78</v>
      </c>
      <c r="C268" s="3"/>
      <c r="D268" s="3" t="s">
        <v>134</v>
      </c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7" t="s">
        <v>135</v>
      </c>
      <c r="AB268" s="38">
        <f>'[14]Daftar Upah'!$F$16/7</f>
        <v>9714.2857142857138</v>
      </c>
      <c r="AC268" s="37" t="s">
        <v>133</v>
      </c>
      <c r="AD268" s="39"/>
    </row>
    <row r="269" spans="2:30" x14ac:dyDescent="0.2">
      <c r="B269" s="36" t="s">
        <v>82</v>
      </c>
      <c r="C269" s="3"/>
      <c r="D269" s="3" t="s">
        <v>136</v>
      </c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7" t="s">
        <v>137</v>
      </c>
      <c r="AB269" s="38">
        <f>AB270</f>
        <v>11000</v>
      </c>
      <c r="AC269" s="37" t="s">
        <v>40</v>
      </c>
      <c r="AD269" s="39"/>
    </row>
    <row r="270" spans="2:30" x14ac:dyDescent="0.2">
      <c r="B270" s="36" t="s">
        <v>90</v>
      </c>
      <c r="C270" s="3"/>
      <c r="D270" s="3" t="s">
        <v>138</v>
      </c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7" t="s">
        <v>139</v>
      </c>
      <c r="AB270" s="38">
        <f>'[14]Daftar Bahan'!$G$11</f>
        <v>11000</v>
      </c>
      <c r="AC270" s="37" t="s">
        <v>40</v>
      </c>
      <c r="AD270" s="39"/>
    </row>
    <row r="271" spans="2:30" x14ac:dyDescent="0.2">
      <c r="B271" s="36" t="s">
        <v>118</v>
      </c>
      <c r="C271" s="3"/>
      <c r="D271" s="3" t="s">
        <v>53</v>
      </c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7" t="s">
        <v>140</v>
      </c>
      <c r="AB271" s="38">
        <f>'[14]Daftar Bahan'!$G$12</f>
        <v>25300</v>
      </c>
      <c r="AC271" s="37" t="s">
        <v>40</v>
      </c>
      <c r="AD271" s="39"/>
    </row>
    <row r="272" spans="2:30" x14ac:dyDescent="0.2">
      <c r="B272" s="36" t="s">
        <v>120</v>
      </c>
      <c r="C272" s="3"/>
      <c r="D272" s="3" t="s">
        <v>141</v>
      </c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7"/>
      <c r="AB272" s="38"/>
      <c r="AC272" s="37"/>
      <c r="AD272" s="39"/>
    </row>
    <row r="273" spans="2:31" x14ac:dyDescent="0.2">
      <c r="B273" s="36"/>
      <c r="C273" s="3"/>
      <c r="D273" s="3" t="s">
        <v>142</v>
      </c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7"/>
      <c r="AB273" s="38"/>
      <c r="AC273" s="37"/>
      <c r="AD273" s="39"/>
    </row>
    <row r="274" spans="2:31" x14ac:dyDescent="0.2">
      <c r="B274" s="49"/>
      <c r="C274" s="50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2"/>
      <c r="AA274" s="53"/>
      <c r="AB274" s="54"/>
      <c r="AC274" s="53"/>
      <c r="AD274" s="55"/>
    </row>
    <row r="275" spans="2:31" x14ac:dyDescent="0.2">
      <c r="B275" s="56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57"/>
      <c r="AB275" s="58"/>
      <c r="AC275" s="57"/>
      <c r="AD275" s="7"/>
    </row>
    <row r="278" spans="2:31" ht="15" x14ac:dyDescent="0.2">
      <c r="B278" s="546" t="s">
        <v>65</v>
      </c>
      <c r="C278" s="546"/>
      <c r="D278" s="546"/>
      <c r="E278" s="546"/>
      <c r="F278" s="546"/>
      <c r="G278" s="546"/>
      <c r="H278" s="546"/>
      <c r="I278" s="546"/>
      <c r="J278" s="546"/>
      <c r="K278" s="546"/>
      <c r="L278" s="546"/>
      <c r="M278" s="546"/>
      <c r="N278" s="546"/>
      <c r="O278" s="546"/>
      <c r="P278" s="546"/>
      <c r="Q278" s="546"/>
      <c r="R278" s="546"/>
      <c r="S278" s="546"/>
      <c r="T278" s="546"/>
      <c r="U278" s="546"/>
      <c r="V278" s="546"/>
      <c r="W278" s="546"/>
      <c r="X278" s="546"/>
      <c r="Y278" s="546"/>
      <c r="Z278" s="546"/>
      <c r="AA278" s="546"/>
      <c r="AB278" s="546"/>
      <c r="AC278" s="546"/>
      <c r="AD278" s="546"/>
      <c r="AE278" s="7"/>
    </row>
    <row r="279" spans="2:31" x14ac:dyDescent="0.2"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10"/>
      <c r="AC279" s="9"/>
      <c r="AD279" s="9"/>
      <c r="AE279" s="7"/>
    </row>
    <row r="280" spans="2:31" x14ac:dyDescent="0.2">
      <c r="B280" s="11" t="s">
        <v>1</v>
      </c>
      <c r="C280" s="12"/>
      <c r="D280" s="12"/>
      <c r="E280" s="12"/>
      <c r="F280" s="12"/>
      <c r="G280" s="11"/>
      <c r="H280" s="11"/>
      <c r="I280" s="13"/>
      <c r="J280" s="11" t="s">
        <v>0</v>
      </c>
      <c r="K280" s="13" t="e">
        <f>K211</f>
        <v>#REF!</v>
      </c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10"/>
      <c r="AC280" s="9"/>
      <c r="AD280" s="9"/>
      <c r="AE280" s="7"/>
    </row>
    <row r="281" spans="2:31" x14ac:dyDescent="0.2">
      <c r="B281" s="11"/>
      <c r="C281" s="12"/>
      <c r="D281" s="12"/>
      <c r="E281" s="12"/>
      <c r="F281" s="12"/>
      <c r="G281" s="11"/>
      <c r="H281" s="11"/>
      <c r="I281" s="13"/>
      <c r="J281" s="11"/>
      <c r="K281" s="13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10"/>
      <c r="AC281" s="9"/>
      <c r="AD281" s="9"/>
      <c r="AE281" s="7"/>
    </row>
    <row r="282" spans="2:31" x14ac:dyDescent="0.2">
      <c r="B282" s="15" t="s">
        <v>3</v>
      </c>
      <c r="C282" s="3"/>
      <c r="D282" s="3"/>
      <c r="E282" s="3"/>
      <c r="F282" s="3"/>
      <c r="G282" s="3"/>
      <c r="H282" s="3"/>
      <c r="I282" s="3"/>
      <c r="J282" s="3" t="s">
        <v>0</v>
      </c>
      <c r="K282" s="547">
        <v>2017</v>
      </c>
      <c r="L282" s="547"/>
      <c r="M282" s="547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5"/>
      <c r="AB282" s="16"/>
      <c r="AC282" s="17"/>
      <c r="AD282" s="18"/>
      <c r="AE282" s="7"/>
    </row>
    <row r="283" spans="2:31" x14ac:dyDescent="0.2">
      <c r="B283" s="15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5"/>
      <c r="AB283" s="16"/>
      <c r="AC283" s="17"/>
      <c r="AD283" s="18"/>
      <c r="AE283" s="7"/>
    </row>
    <row r="284" spans="2:31" x14ac:dyDescent="0.2">
      <c r="B284" s="19"/>
      <c r="C284" s="20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2"/>
      <c r="AA284" s="23"/>
      <c r="AB284" s="24"/>
      <c r="AC284" s="23"/>
      <c r="AD284" s="25"/>
      <c r="AE284" s="7"/>
    </row>
    <row r="285" spans="2:31" x14ac:dyDescent="0.2">
      <c r="B285" s="26" t="s">
        <v>5</v>
      </c>
      <c r="C285" s="548" t="s">
        <v>66</v>
      </c>
      <c r="D285" s="549"/>
      <c r="E285" s="549"/>
      <c r="F285" s="549"/>
      <c r="G285" s="549"/>
      <c r="H285" s="549"/>
      <c r="I285" s="549"/>
      <c r="J285" s="549"/>
      <c r="K285" s="549"/>
      <c r="L285" s="549"/>
      <c r="M285" s="549"/>
      <c r="N285" s="549"/>
      <c r="O285" s="549"/>
      <c r="P285" s="549"/>
      <c r="Q285" s="549"/>
      <c r="R285" s="549"/>
      <c r="S285" s="549"/>
      <c r="T285" s="549"/>
      <c r="U285" s="549"/>
      <c r="V285" s="549"/>
      <c r="W285" s="549"/>
      <c r="X285" s="549"/>
      <c r="Y285" s="549"/>
      <c r="Z285" s="550"/>
      <c r="AA285" s="27" t="s">
        <v>67</v>
      </c>
      <c r="AB285" s="28" t="s">
        <v>68</v>
      </c>
      <c r="AC285" s="27" t="s">
        <v>69</v>
      </c>
      <c r="AD285" s="27" t="s">
        <v>70</v>
      </c>
      <c r="AE285" s="7"/>
    </row>
    <row r="286" spans="2:31" ht="13.5" thickBot="1" x14ac:dyDescent="0.25">
      <c r="B286" s="29"/>
      <c r="C286" s="30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2"/>
      <c r="AA286" s="33"/>
      <c r="AB286" s="34"/>
      <c r="AC286" s="33"/>
      <c r="AD286" s="35"/>
      <c r="AE286" s="7"/>
    </row>
    <row r="287" spans="2:31" ht="13.5" thickTop="1" x14ac:dyDescent="0.2">
      <c r="B287" s="36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7"/>
      <c r="AB287" s="38"/>
      <c r="AC287" s="37"/>
      <c r="AD287" s="39"/>
    </row>
    <row r="288" spans="2:31" ht="13.5" thickBot="1" x14ac:dyDescent="0.25">
      <c r="B288" s="26" t="s">
        <v>9</v>
      </c>
      <c r="C288" s="18"/>
      <c r="D288" s="18" t="s">
        <v>71</v>
      </c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7"/>
      <c r="AB288" s="38"/>
      <c r="AC288" s="37"/>
      <c r="AD288" s="39"/>
    </row>
    <row r="289" spans="2:33" ht="13.5" thickBot="1" x14ac:dyDescent="0.25">
      <c r="B289" s="36" t="s">
        <v>72</v>
      </c>
      <c r="C289" s="3"/>
      <c r="D289" s="3" t="s">
        <v>73</v>
      </c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551" t="s">
        <v>146</v>
      </c>
      <c r="AB289" s="552"/>
      <c r="AC289" s="553"/>
      <c r="AD289" s="39"/>
    </row>
    <row r="290" spans="2:33" x14ac:dyDescent="0.2">
      <c r="B290" s="36" t="s">
        <v>75</v>
      </c>
      <c r="C290" s="3"/>
      <c r="D290" s="3" t="s">
        <v>57</v>
      </c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7" t="s">
        <v>76</v>
      </c>
      <c r="AB290" s="38">
        <v>5</v>
      </c>
      <c r="AC290" s="37" t="s">
        <v>77</v>
      </c>
      <c r="AD290" s="39"/>
    </row>
    <row r="291" spans="2:33" x14ac:dyDescent="0.2">
      <c r="B291" s="36" t="s">
        <v>78</v>
      </c>
      <c r="C291" s="3"/>
      <c r="D291" s="3" t="s">
        <v>79</v>
      </c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7" t="s">
        <v>80</v>
      </c>
      <c r="AB291" s="38">
        <v>0</v>
      </c>
      <c r="AC291" s="37" t="s">
        <v>28</v>
      </c>
      <c r="AD291" s="39"/>
    </row>
    <row r="292" spans="2:33" x14ac:dyDescent="0.2">
      <c r="B292" s="36" t="s">
        <v>82</v>
      </c>
      <c r="C292" s="3"/>
      <c r="D292" s="3" t="s">
        <v>83</v>
      </c>
      <c r="E292" s="3"/>
      <c r="F292" s="3"/>
      <c r="G292" s="3"/>
      <c r="H292" s="3"/>
      <c r="I292" s="3"/>
      <c r="J292" s="3"/>
      <c r="K292" s="3"/>
      <c r="L292" s="3" t="s">
        <v>0</v>
      </c>
      <c r="M292" s="3" t="s">
        <v>38</v>
      </c>
      <c r="N292" s="3" t="s">
        <v>84</v>
      </c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7" t="s">
        <v>24</v>
      </c>
      <c r="AB292" s="38">
        <v>3</v>
      </c>
      <c r="AC292" s="37" t="s">
        <v>85</v>
      </c>
      <c r="AD292" s="39"/>
    </row>
    <row r="293" spans="2:33" x14ac:dyDescent="0.2">
      <c r="B293" s="36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 t="s">
        <v>39</v>
      </c>
      <c r="N293" s="3" t="s">
        <v>86</v>
      </c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7" t="s">
        <v>87</v>
      </c>
      <c r="AB293" s="38">
        <v>2000</v>
      </c>
      <c r="AC293" s="37" t="s">
        <v>54</v>
      </c>
      <c r="AD293" s="39"/>
    </row>
    <row r="294" spans="2:33" x14ac:dyDescent="0.2">
      <c r="B294" s="36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 t="s">
        <v>58</v>
      </c>
      <c r="N294" s="3" t="s">
        <v>88</v>
      </c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7" t="s">
        <v>33</v>
      </c>
      <c r="AB294" s="38">
        <v>15000000</v>
      </c>
      <c r="AC294" s="37" t="s">
        <v>89</v>
      </c>
      <c r="AD294" s="39"/>
    </row>
    <row r="295" spans="2:33" x14ac:dyDescent="0.2">
      <c r="B295" s="36" t="s">
        <v>90</v>
      </c>
      <c r="C295" s="3"/>
      <c r="D295" s="3" t="s">
        <v>91</v>
      </c>
      <c r="E295" s="3"/>
      <c r="F295" s="3"/>
      <c r="G295" s="3"/>
      <c r="H295" s="3"/>
      <c r="I295" s="3"/>
      <c r="J295" s="3"/>
      <c r="K295" s="3"/>
      <c r="L295" s="3" t="s">
        <v>0</v>
      </c>
      <c r="M295" s="3" t="s">
        <v>38</v>
      </c>
      <c r="N295" s="3" t="s">
        <v>84</v>
      </c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7" t="s">
        <v>92</v>
      </c>
      <c r="AB295" s="38">
        <f>+AB292</f>
        <v>3</v>
      </c>
      <c r="AC295" s="37" t="s">
        <v>85</v>
      </c>
      <c r="AD295" s="39"/>
    </row>
    <row r="296" spans="2:33" x14ac:dyDescent="0.2">
      <c r="B296" s="36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 t="s">
        <v>39</v>
      </c>
      <c r="N296" s="3" t="s">
        <v>86</v>
      </c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7" t="s">
        <v>93</v>
      </c>
      <c r="AB296" s="38">
        <f>+AB293</f>
        <v>2000</v>
      </c>
      <c r="AC296" s="37" t="s">
        <v>54</v>
      </c>
      <c r="AD296" s="39"/>
    </row>
    <row r="297" spans="2:33" ht="14.25" x14ac:dyDescent="0.2">
      <c r="B297" s="36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 t="s">
        <v>58</v>
      </c>
      <c r="N297" s="3" t="s">
        <v>94</v>
      </c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7" t="s">
        <v>95</v>
      </c>
      <c r="AB297" s="38">
        <f>+AB294</f>
        <v>15000000</v>
      </c>
      <c r="AC297" s="37" t="s">
        <v>89</v>
      </c>
      <c r="AD297" s="39"/>
    </row>
    <row r="298" spans="2:33" x14ac:dyDescent="0.2">
      <c r="B298" s="36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7"/>
      <c r="AB298" s="38"/>
      <c r="AC298" s="37"/>
      <c r="AD298" s="39"/>
    </row>
    <row r="299" spans="2:33" x14ac:dyDescent="0.2">
      <c r="B299" s="26" t="s">
        <v>4</v>
      </c>
      <c r="C299" s="3"/>
      <c r="D299" s="18" t="s">
        <v>96</v>
      </c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7"/>
      <c r="AB299" s="38"/>
      <c r="AC299" s="37"/>
      <c r="AD299" s="39"/>
    </row>
    <row r="300" spans="2:33" x14ac:dyDescent="0.2">
      <c r="B300" s="36" t="s">
        <v>72</v>
      </c>
      <c r="C300" s="3"/>
      <c r="D300" s="3" t="s">
        <v>97</v>
      </c>
      <c r="E300" s="3"/>
      <c r="F300" s="3"/>
      <c r="G300" s="3"/>
      <c r="H300" s="3"/>
      <c r="I300" s="3"/>
      <c r="J300" s="3"/>
      <c r="K300" s="3"/>
      <c r="L300" s="3"/>
      <c r="M300" s="3" t="s">
        <v>98</v>
      </c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7" t="s">
        <v>34</v>
      </c>
      <c r="AB300" s="38">
        <f>0.1*AB297</f>
        <v>1500000</v>
      </c>
      <c r="AC300" s="37" t="s">
        <v>89</v>
      </c>
      <c r="AD300" s="39"/>
    </row>
    <row r="301" spans="2:33" x14ac:dyDescent="0.2">
      <c r="B301" s="36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7"/>
      <c r="AB301" s="38"/>
      <c r="AC301" s="37"/>
      <c r="AD301" s="39"/>
      <c r="AG301" s="40">
        <f>AB335/100</f>
        <v>0.2</v>
      </c>
    </row>
    <row r="302" spans="2:33" ht="14.25" x14ac:dyDescent="0.2">
      <c r="B302" s="36" t="s">
        <v>75</v>
      </c>
      <c r="C302" s="3"/>
      <c r="D302" s="3" t="s">
        <v>99</v>
      </c>
      <c r="E302" s="3"/>
      <c r="F302" s="3"/>
      <c r="G302" s="3"/>
      <c r="H302" s="3"/>
      <c r="I302" s="3"/>
      <c r="J302" s="3"/>
      <c r="K302" s="3"/>
      <c r="L302" s="3"/>
      <c r="M302" s="3"/>
      <c r="N302" s="3" t="s">
        <v>100</v>
      </c>
      <c r="O302" s="543" t="s">
        <v>101</v>
      </c>
      <c r="P302" s="543"/>
      <c r="Q302" s="543"/>
      <c r="R302" s="543"/>
      <c r="S302" s="543"/>
      <c r="T302" s="543"/>
      <c r="U302" s="3"/>
      <c r="V302" s="3"/>
      <c r="W302" s="3"/>
      <c r="X302" s="3"/>
      <c r="Y302" s="3"/>
      <c r="Z302" s="3"/>
      <c r="AA302" s="37" t="s">
        <v>35</v>
      </c>
      <c r="AB302" s="41">
        <f>AG302/AG303</f>
        <v>0.47472527472527476</v>
      </c>
      <c r="AC302" s="37"/>
      <c r="AD302" s="39"/>
      <c r="AG302" s="40">
        <f>AG301*((1+AG301)^AB295)</f>
        <v>0.34560000000000002</v>
      </c>
    </row>
    <row r="303" spans="2:33" ht="14.25" x14ac:dyDescent="0.2">
      <c r="B303" s="36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544" t="s">
        <v>102</v>
      </c>
      <c r="P303" s="544"/>
      <c r="Q303" s="544"/>
      <c r="R303" s="544"/>
      <c r="S303" s="544"/>
      <c r="T303" s="544"/>
      <c r="U303" s="3"/>
      <c r="V303" s="3"/>
      <c r="W303" s="3"/>
      <c r="X303" s="3"/>
      <c r="Y303" s="3"/>
      <c r="Z303" s="3"/>
      <c r="AA303" s="37"/>
      <c r="AB303" s="38"/>
      <c r="AC303" s="37"/>
      <c r="AD303" s="39"/>
      <c r="AG303" s="40">
        <f>((1+AG301)^AB295)-1</f>
        <v>0.72799999999999998</v>
      </c>
    </row>
    <row r="304" spans="2:33" x14ac:dyDescent="0.2">
      <c r="B304" s="36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7"/>
      <c r="AB304" s="38"/>
      <c r="AC304" s="37"/>
      <c r="AD304" s="39"/>
    </row>
    <row r="305" spans="2:30" x14ac:dyDescent="0.2">
      <c r="B305" s="36" t="s">
        <v>78</v>
      </c>
      <c r="C305" s="3"/>
      <c r="D305" s="3" t="s">
        <v>103</v>
      </c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7"/>
      <c r="AB305" s="38"/>
      <c r="AC305" s="37"/>
      <c r="AD305" s="39"/>
    </row>
    <row r="306" spans="2:30" x14ac:dyDescent="0.2">
      <c r="B306" s="36"/>
      <c r="C306" s="3"/>
      <c r="D306" s="3" t="s">
        <v>38</v>
      </c>
      <c r="E306" s="3" t="s">
        <v>104</v>
      </c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 t="s">
        <v>100</v>
      </c>
      <c r="Q306" s="543" t="s">
        <v>105</v>
      </c>
      <c r="R306" s="543"/>
      <c r="S306" s="543"/>
      <c r="T306" s="543"/>
      <c r="U306" s="543"/>
      <c r="V306" s="543"/>
      <c r="W306" s="5"/>
      <c r="X306" s="5"/>
      <c r="Y306" s="3"/>
      <c r="Z306" s="3"/>
      <c r="AA306" s="37" t="s">
        <v>12</v>
      </c>
      <c r="AB306" s="38">
        <f>((AB297-AB300)*AB302)/AB296</f>
        <v>3204.3956043956046</v>
      </c>
      <c r="AC306" s="37" t="s">
        <v>89</v>
      </c>
      <c r="AD306" s="39"/>
    </row>
    <row r="307" spans="2:30" x14ac:dyDescent="0.2">
      <c r="B307" s="36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545" t="s">
        <v>93</v>
      </c>
      <c r="R307" s="545"/>
      <c r="S307" s="545"/>
      <c r="T307" s="545"/>
      <c r="U307" s="545"/>
      <c r="V307" s="545"/>
      <c r="W307" s="5"/>
      <c r="X307" s="5"/>
      <c r="Y307" s="3"/>
      <c r="Z307" s="3"/>
      <c r="AA307" s="37"/>
      <c r="AB307" s="38"/>
      <c r="AC307" s="37"/>
      <c r="AD307" s="39"/>
    </row>
    <row r="308" spans="2:30" x14ac:dyDescent="0.2">
      <c r="B308" s="36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7"/>
      <c r="AB308" s="38"/>
      <c r="AC308" s="37"/>
      <c r="AD308" s="39"/>
    </row>
    <row r="309" spans="2:30" x14ac:dyDescent="0.2">
      <c r="B309" s="36"/>
      <c r="C309" s="3"/>
      <c r="D309" s="3" t="s">
        <v>39</v>
      </c>
      <c r="E309" s="3" t="s">
        <v>106</v>
      </c>
      <c r="F309" s="3"/>
      <c r="G309" s="3"/>
      <c r="H309" s="3"/>
      <c r="I309" s="3"/>
      <c r="J309" s="3"/>
      <c r="K309" s="3" t="s">
        <v>100</v>
      </c>
      <c r="L309" s="543" t="s">
        <v>107</v>
      </c>
      <c r="M309" s="543"/>
      <c r="N309" s="543"/>
      <c r="O309" s="543"/>
      <c r="P309" s="543"/>
      <c r="Q309" s="42"/>
      <c r="R309" s="3"/>
      <c r="S309" s="3"/>
      <c r="T309" s="3"/>
      <c r="U309" s="3"/>
      <c r="V309" s="3"/>
      <c r="W309" s="3"/>
      <c r="X309" s="3"/>
      <c r="Y309" s="3"/>
      <c r="Z309" s="3"/>
      <c r="AA309" s="37" t="s">
        <v>13</v>
      </c>
      <c r="AB309" s="38">
        <f>(0.002*AB297)/AB296</f>
        <v>15</v>
      </c>
      <c r="AC309" s="37"/>
      <c r="AD309" s="39"/>
    </row>
    <row r="310" spans="2:30" x14ac:dyDescent="0.2">
      <c r="B310" s="36"/>
      <c r="C310" s="3"/>
      <c r="D310" s="3"/>
      <c r="E310" s="3"/>
      <c r="F310" s="3"/>
      <c r="G310" s="3"/>
      <c r="H310" s="3"/>
      <c r="I310" s="3"/>
      <c r="J310" s="3"/>
      <c r="K310" s="3"/>
      <c r="L310" s="545" t="s">
        <v>93</v>
      </c>
      <c r="M310" s="545"/>
      <c r="N310" s="545"/>
      <c r="O310" s="545"/>
      <c r="P310" s="545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7"/>
      <c r="AB310" s="38"/>
      <c r="AC310" s="37"/>
      <c r="AD310" s="39"/>
    </row>
    <row r="311" spans="2:30" x14ac:dyDescent="0.2">
      <c r="B311" s="36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7"/>
      <c r="AB311" s="38"/>
      <c r="AC311" s="37"/>
      <c r="AD311" s="39"/>
    </row>
    <row r="312" spans="2:30" x14ac:dyDescent="0.2">
      <c r="B312" s="36"/>
      <c r="C312" s="3"/>
      <c r="D312" s="3" t="s">
        <v>108</v>
      </c>
      <c r="E312" s="3"/>
      <c r="F312" s="3"/>
      <c r="G312" s="3"/>
      <c r="H312" s="3"/>
      <c r="I312" s="3"/>
      <c r="J312" s="3"/>
      <c r="K312" s="3"/>
      <c r="L312" s="3"/>
      <c r="M312" s="3" t="s">
        <v>100</v>
      </c>
      <c r="N312" s="3" t="s">
        <v>109</v>
      </c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7" t="s">
        <v>14</v>
      </c>
      <c r="AB312" s="38">
        <f>AB306+AB309</f>
        <v>3219.3956043956046</v>
      </c>
      <c r="AC312" s="37" t="s">
        <v>89</v>
      </c>
      <c r="AD312" s="39"/>
    </row>
    <row r="313" spans="2:30" x14ac:dyDescent="0.2">
      <c r="B313" s="36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7"/>
      <c r="AB313" s="38"/>
      <c r="AC313" s="37"/>
      <c r="AD313" s="39"/>
    </row>
    <row r="314" spans="2:30" x14ac:dyDescent="0.2">
      <c r="B314" s="26" t="s">
        <v>10</v>
      </c>
      <c r="C314" s="3"/>
      <c r="D314" s="18" t="s">
        <v>110</v>
      </c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7"/>
      <c r="AB314" s="38"/>
      <c r="AC314" s="37"/>
      <c r="AD314" s="39"/>
    </row>
    <row r="315" spans="2:30" x14ac:dyDescent="0.2">
      <c r="B315" s="36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7"/>
      <c r="AB315" s="38"/>
      <c r="AC315" s="37"/>
      <c r="AD315" s="39"/>
    </row>
    <row r="316" spans="2:30" x14ac:dyDescent="0.2">
      <c r="B316" s="36" t="s">
        <v>72</v>
      </c>
      <c r="C316" s="3"/>
      <c r="D316" s="3" t="s">
        <v>111</v>
      </c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7" t="s">
        <v>15</v>
      </c>
      <c r="AB316" s="38">
        <f>0.12*AB290*AB339</f>
        <v>6600</v>
      </c>
      <c r="AC316" s="37" t="s">
        <v>89</v>
      </c>
      <c r="AD316" s="39"/>
    </row>
    <row r="317" spans="2:30" x14ac:dyDescent="0.2">
      <c r="B317" s="36"/>
      <c r="C317" s="3"/>
      <c r="D317" s="4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7"/>
      <c r="AB317" s="38"/>
      <c r="AC317" s="37"/>
      <c r="AD317" s="39"/>
    </row>
    <row r="318" spans="2:30" x14ac:dyDescent="0.2">
      <c r="B318" s="36" t="s">
        <v>75</v>
      </c>
      <c r="C318" s="3"/>
      <c r="D318" s="3" t="s">
        <v>112</v>
      </c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7" t="s">
        <v>42</v>
      </c>
      <c r="AB318" s="38">
        <f>0.025*AB290*AB340</f>
        <v>3162.5</v>
      </c>
      <c r="AC318" s="37" t="s">
        <v>89</v>
      </c>
      <c r="AD318" s="39"/>
    </row>
    <row r="319" spans="2:30" x14ac:dyDescent="0.2">
      <c r="B319" s="36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7"/>
      <c r="AB319" s="38"/>
      <c r="AC319" s="37"/>
      <c r="AD319" s="39"/>
    </row>
    <row r="320" spans="2:30" x14ac:dyDescent="0.2">
      <c r="B320" s="36" t="s">
        <v>78</v>
      </c>
      <c r="C320" s="3"/>
      <c r="D320" s="3" t="s">
        <v>113</v>
      </c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543" t="s">
        <v>114</v>
      </c>
      <c r="P320" s="543"/>
      <c r="Q320" s="543"/>
      <c r="R320" s="543"/>
      <c r="S320" s="543"/>
      <c r="T320" s="543"/>
      <c r="U320" s="543"/>
      <c r="V320" s="543"/>
      <c r="W320" s="543"/>
      <c r="X320" s="42"/>
      <c r="Y320" s="42"/>
      <c r="Z320" s="3"/>
      <c r="AA320" s="37" t="s">
        <v>115</v>
      </c>
      <c r="AB320" s="38">
        <f>(0.125*AB297)/AB296</f>
        <v>937.5</v>
      </c>
      <c r="AC320" s="37" t="s">
        <v>89</v>
      </c>
      <c r="AD320" s="39"/>
    </row>
    <row r="321" spans="2:30" x14ac:dyDescent="0.2">
      <c r="B321" s="36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544" t="s">
        <v>93</v>
      </c>
      <c r="P321" s="544"/>
      <c r="Q321" s="544"/>
      <c r="R321" s="544"/>
      <c r="S321" s="544"/>
      <c r="T321" s="544"/>
      <c r="U321" s="544"/>
      <c r="V321" s="544"/>
      <c r="W321" s="544"/>
      <c r="X321" s="42"/>
      <c r="Y321" s="42"/>
      <c r="Z321" s="3"/>
      <c r="AA321" s="37"/>
      <c r="AB321" s="38"/>
      <c r="AC321" s="37"/>
      <c r="AD321" s="39"/>
    </row>
    <row r="322" spans="2:30" x14ac:dyDescent="0.2">
      <c r="B322" s="36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5"/>
      <c r="P322" s="5"/>
      <c r="Q322" s="5"/>
      <c r="R322" s="5"/>
      <c r="S322" s="5"/>
      <c r="T322" s="5"/>
      <c r="U322" s="5"/>
      <c r="V322" s="5"/>
      <c r="W322" s="5"/>
      <c r="X322" s="42"/>
      <c r="Y322" s="42"/>
      <c r="Z322" s="3"/>
      <c r="AA322" s="37"/>
      <c r="AB322" s="38"/>
      <c r="AC322" s="37"/>
      <c r="AD322" s="39"/>
    </row>
    <row r="323" spans="2:30" x14ac:dyDescent="0.2">
      <c r="B323" s="36" t="s">
        <v>90</v>
      </c>
      <c r="C323" s="3"/>
      <c r="D323" s="45" t="s">
        <v>116</v>
      </c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543" t="s">
        <v>117</v>
      </c>
      <c r="P323" s="543"/>
      <c r="Q323" s="543"/>
      <c r="R323" s="543"/>
      <c r="S323" s="543"/>
      <c r="T323" s="543"/>
      <c r="U323" s="543"/>
      <c r="V323" s="543"/>
      <c r="W323" s="543"/>
      <c r="X323" s="42"/>
      <c r="Y323" s="42"/>
      <c r="Z323" s="3"/>
      <c r="AA323" s="37" t="s">
        <v>55</v>
      </c>
      <c r="AB323" s="38">
        <f>(0.0875*AB294)/AB296</f>
        <v>656.25</v>
      </c>
      <c r="AC323" s="37" t="s">
        <v>89</v>
      </c>
      <c r="AD323" s="39"/>
    </row>
    <row r="324" spans="2:30" x14ac:dyDescent="0.2">
      <c r="B324" s="36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544" t="s">
        <v>93</v>
      </c>
      <c r="P324" s="544"/>
      <c r="Q324" s="544"/>
      <c r="R324" s="544"/>
      <c r="S324" s="544"/>
      <c r="T324" s="544"/>
      <c r="U324" s="544"/>
      <c r="V324" s="544"/>
      <c r="W324" s="544"/>
      <c r="X324" s="42"/>
      <c r="Y324" s="42"/>
      <c r="Z324" s="3"/>
      <c r="AA324" s="37"/>
      <c r="AB324" s="38"/>
      <c r="AC324" s="37"/>
      <c r="AD324" s="39"/>
    </row>
    <row r="325" spans="2:30" x14ac:dyDescent="0.2">
      <c r="B325" s="36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7"/>
      <c r="AB325" s="38"/>
      <c r="AC325" s="37"/>
      <c r="AD325" s="39"/>
    </row>
    <row r="326" spans="2:30" x14ac:dyDescent="0.2">
      <c r="B326" s="36" t="s">
        <v>118</v>
      </c>
      <c r="C326" s="3"/>
      <c r="D326" s="3" t="s">
        <v>119</v>
      </c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7" t="s">
        <v>43</v>
      </c>
      <c r="AB326" s="38">
        <f>1*AB336</f>
        <v>9000</v>
      </c>
      <c r="AC326" s="37" t="s">
        <v>89</v>
      </c>
      <c r="AD326" s="39"/>
    </row>
    <row r="327" spans="2:30" x14ac:dyDescent="0.2">
      <c r="B327" s="36" t="s">
        <v>120</v>
      </c>
      <c r="C327" s="3"/>
      <c r="D327" s="3" t="s">
        <v>121</v>
      </c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7" t="s">
        <v>122</v>
      </c>
      <c r="AB327" s="38">
        <f>1*AB337</f>
        <v>9714.2857142857138</v>
      </c>
      <c r="AC327" s="37" t="s">
        <v>89</v>
      </c>
      <c r="AD327" s="39"/>
    </row>
    <row r="328" spans="2:30" x14ac:dyDescent="0.2">
      <c r="B328" s="36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7"/>
      <c r="AB328" s="38"/>
      <c r="AC328" s="37"/>
      <c r="AD328" s="39"/>
    </row>
    <row r="329" spans="2:30" x14ac:dyDescent="0.2">
      <c r="B329" s="36"/>
      <c r="C329" s="3"/>
      <c r="D329" s="3" t="s">
        <v>123</v>
      </c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7" t="s">
        <v>124</v>
      </c>
      <c r="AB329" s="38">
        <f>AB316+AB318+AB320+AB326+AB327+AB323</f>
        <v>30070.535714285714</v>
      </c>
      <c r="AC329" s="37" t="s">
        <v>89</v>
      </c>
      <c r="AD329" s="39"/>
    </row>
    <row r="330" spans="2:30" ht="13.5" thickBot="1" x14ac:dyDescent="0.25">
      <c r="B330" s="36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7"/>
      <c r="AB330" s="38"/>
      <c r="AC330" s="37"/>
      <c r="AD330" s="39"/>
    </row>
    <row r="331" spans="2:30" ht="13.5" thickBot="1" x14ac:dyDescent="0.25">
      <c r="B331" s="26" t="s">
        <v>11</v>
      </c>
      <c r="C331" s="3"/>
      <c r="D331" s="18" t="s">
        <v>125</v>
      </c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46" t="s">
        <v>126</v>
      </c>
      <c r="AB331" s="47">
        <f>AB312+AB329</f>
        <v>33289.931318681316</v>
      </c>
      <c r="AC331" s="46" t="s">
        <v>89</v>
      </c>
      <c r="AD331" s="39"/>
    </row>
    <row r="332" spans="2:30" x14ac:dyDescent="0.2">
      <c r="B332" s="36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7"/>
      <c r="AB332" s="38"/>
      <c r="AC332" s="37"/>
      <c r="AD332" s="39"/>
    </row>
    <row r="333" spans="2:30" x14ac:dyDescent="0.2">
      <c r="B333" s="36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7"/>
      <c r="AB333" s="38"/>
      <c r="AC333" s="37"/>
      <c r="AD333" s="39"/>
    </row>
    <row r="334" spans="2:30" x14ac:dyDescent="0.2">
      <c r="B334" s="26" t="s">
        <v>16</v>
      </c>
      <c r="C334" s="18"/>
      <c r="D334" s="18" t="s">
        <v>127</v>
      </c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7"/>
      <c r="AB334" s="38"/>
      <c r="AC334" s="37"/>
      <c r="AD334" s="39"/>
    </row>
    <row r="335" spans="2:30" x14ac:dyDescent="0.2">
      <c r="B335" s="36" t="s">
        <v>72</v>
      </c>
      <c r="C335" s="3"/>
      <c r="D335" s="3" t="s">
        <v>128</v>
      </c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7" t="s">
        <v>129</v>
      </c>
      <c r="AB335" s="38">
        <v>20</v>
      </c>
      <c r="AC335" s="37" t="s">
        <v>130</v>
      </c>
      <c r="AD335" s="39"/>
    </row>
    <row r="336" spans="2:30" x14ac:dyDescent="0.2">
      <c r="B336" s="36" t="s">
        <v>75</v>
      </c>
      <c r="C336" s="3"/>
      <c r="D336" s="3" t="s">
        <v>131</v>
      </c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7" t="s">
        <v>132</v>
      </c>
      <c r="AB336" s="38">
        <f>'[14]Daftar Upah'!$F$17/7</f>
        <v>9000</v>
      </c>
      <c r="AC336" s="37" t="s">
        <v>133</v>
      </c>
      <c r="AD336" s="39"/>
    </row>
    <row r="337" spans="2:31" x14ac:dyDescent="0.2">
      <c r="B337" s="36" t="s">
        <v>78</v>
      </c>
      <c r="C337" s="3"/>
      <c r="D337" s="3" t="s">
        <v>134</v>
      </c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7" t="s">
        <v>135</v>
      </c>
      <c r="AB337" s="38">
        <f>'[14]Daftar Upah'!$F$16/7</f>
        <v>9714.2857142857138</v>
      </c>
      <c r="AC337" s="37" t="s">
        <v>133</v>
      </c>
      <c r="AD337" s="39"/>
    </row>
    <row r="338" spans="2:31" x14ac:dyDescent="0.2">
      <c r="B338" s="36" t="s">
        <v>82</v>
      </c>
      <c r="C338" s="3"/>
      <c r="D338" s="3" t="s">
        <v>136</v>
      </c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7" t="s">
        <v>137</v>
      </c>
      <c r="AB338" s="38">
        <f>AB339</f>
        <v>11000</v>
      </c>
      <c r="AC338" s="37" t="s">
        <v>40</v>
      </c>
      <c r="AD338" s="39"/>
    </row>
    <row r="339" spans="2:31" x14ac:dyDescent="0.2">
      <c r="B339" s="36" t="s">
        <v>90</v>
      </c>
      <c r="C339" s="3"/>
      <c r="D339" s="3" t="s">
        <v>138</v>
      </c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7" t="s">
        <v>139</v>
      </c>
      <c r="AB339" s="38">
        <f>'[14]Daftar Bahan'!$G$11</f>
        <v>11000</v>
      </c>
      <c r="AC339" s="37" t="s">
        <v>40</v>
      </c>
      <c r="AD339" s="39"/>
    </row>
    <row r="340" spans="2:31" x14ac:dyDescent="0.2">
      <c r="B340" s="36" t="s">
        <v>118</v>
      </c>
      <c r="C340" s="3"/>
      <c r="D340" s="3" t="s">
        <v>53</v>
      </c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7" t="s">
        <v>140</v>
      </c>
      <c r="AB340" s="38">
        <f>'[14]Daftar Bahan'!$G$12</f>
        <v>25300</v>
      </c>
      <c r="AC340" s="37" t="s">
        <v>40</v>
      </c>
      <c r="AD340" s="39"/>
    </row>
    <row r="341" spans="2:31" x14ac:dyDescent="0.2">
      <c r="B341" s="36" t="s">
        <v>120</v>
      </c>
      <c r="C341" s="3"/>
      <c r="D341" s="3" t="s">
        <v>141</v>
      </c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7"/>
      <c r="AB341" s="38"/>
      <c r="AC341" s="37"/>
      <c r="AD341" s="39"/>
    </row>
    <row r="342" spans="2:31" x14ac:dyDescent="0.2">
      <c r="B342" s="36"/>
      <c r="C342" s="3"/>
      <c r="D342" s="3" t="s">
        <v>142</v>
      </c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7"/>
      <c r="AB342" s="38"/>
      <c r="AC342" s="37"/>
      <c r="AD342" s="39"/>
    </row>
    <row r="343" spans="2:31" x14ac:dyDescent="0.2">
      <c r="B343" s="49"/>
      <c r="C343" s="50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2"/>
      <c r="AA343" s="53"/>
      <c r="AB343" s="54"/>
      <c r="AC343" s="53"/>
      <c r="AD343" s="55"/>
    </row>
    <row r="344" spans="2:31" x14ac:dyDescent="0.2">
      <c r="B344" s="56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57"/>
      <c r="AB344" s="58"/>
      <c r="AC344" s="57"/>
      <c r="AD344" s="7"/>
    </row>
    <row r="345" spans="2:31" ht="15" x14ac:dyDescent="0.2">
      <c r="B345" s="546" t="s">
        <v>65</v>
      </c>
      <c r="C345" s="546"/>
      <c r="D345" s="546"/>
      <c r="E345" s="546"/>
      <c r="F345" s="546"/>
      <c r="G345" s="546"/>
      <c r="H345" s="546"/>
      <c r="I345" s="546"/>
      <c r="J345" s="546"/>
      <c r="K345" s="546"/>
      <c r="L345" s="546"/>
      <c r="M345" s="546"/>
      <c r="N345" s="546"/>
      <c r="O345" s="546"/>
      <c r="P345" s="546"/>
      <c r="Q345" s="546"/>
      <c r="R345" s="546"/>
      <c r="S345" s="546"/>
      <c r="T345" s="546"/>
      <c r="U345" s="546"/>
      <c r="V345" s="546"/>
      <c r="W345" s="546"/>
      <c r="X345" s="546"/>
      <c r="Y345" s="546"/>
      <c r="Z345" s="546"/>
      <c r="AA345" s="546"/>
      <c r="AB345" s="546"/>
      <c r="AC345" s="546"/>
      <c r="AD345" s="546"/>
      <c r="AE345" s="7"/>
    </row>
    <row r="346" spans="2:31" x14ac:dyDescent="0.2"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10"/>
      <c r="AC346" s="9"/>
      <c r="AD346" s="9"/>
      <c r="AE346" s="7"/>
    </row>
    <row r="347" spans="2:31" x14ac:dyDescent="0.2">
      <c r="B347" s="11" t="s">
        <v>1</v>
      </c>
      <c r="C347" s="12"/>
      <c r="D347" s="12"/>
      <c r="E347" s="12"/>
      <c r="F347" s="12"/>
      <c r="G347" s="11"/>
      <c r="H347" s="11"/>
      <c r="I347" s="13"/>
      <c r="J347" s="11" t="s">
        <v>0</v>
      </c>
      <c r="K347" s="13" t="e">
        <f>$K$280</f>
        <v>#REF!</v>
      </c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10"/>
      <c r="AC347" s="9"/>
      <c r="AD347" s="9"/>
      <c r="AE347" s="7"/>
    </row>
    <row r="348" spans="2:31" x14ac:dyDescent="0.2">
      <c r="B348" s="11"/>
      <c r="C348" s="12"/>
      <c r="D348" s="12"/>
      <c r="E348" s="12"/>
      <c r="F348" s="12"/>
      <c r="G348" s="11"/>
      <c r="H348" s="11"/>
      <c r="I348" s="13"/>
      <c r="J348" s="11"/>
      <c r="K348" s="13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10"/>
      <c r="AC348" s="9"/>
      <c r="AD348" s="9"/>
      <c r="AE348" s="7"/>
    </row>
    <row r="349" spans="2:31" x14ac:dyDescent="0.2">
      <c r="B349" s="15" t="s">
        <v>3</v>
      </c>
      <c r="C349" s="3"/>
      <c r="D349" s="3"/>
      <c r="E349" s="3"/>
      <c r="F349" s="3"/>
      <c r="G349" s="3"/>
      <c r="H349" s="3"/>
      <c r="I349" s="3"/>
      <c r="J349" s="3" t="s">
        <v>0</v>
      </c>
      <c r="K349" s="547">
        <v>2017</v>
      </c>
      <c r="L349" s="547"/>
      <c r="M349" s="547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5"/>
      <c r="AB349" s="16"/>
      <c r="AC349" s="17"/>
      <c r="AD349" s="18"/>
      <c r="AE349" s="7"/>
    </row>
    <row r="350" spans="2:31" x14ac:dyDescent="0.2">
      <c r="B350" s="15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5"/>
      <c r="AB350" s="16"/>
      <c r="AC350" s="17"/>
      <c r="AD350" s="18"/>
      <c r="AE350" s="7"/>
    </row>
    <row r="351" spans="2:31" x14ac:dyDescent="0.2">
      <c r="B351" s="19"/>
      <c r="C351" s="20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2"/>
      <c r="AA351" s="23"/>
      <c r="AB351" s="24"/>
      <c r="AC351" s="23"/>
      <c r="AD351" s="25"/>
      <c r="AE351" s="7"/>
    </row>
    <row r="352" spans="2:31" x14ac:dyDescent="0.2">
      <c r="B352" s="26" t="s">
        <v>5</v>
      </c>
      <c r="C352" s="548" t="s">
        <v>66</v>
      </c>
      <c r="D352" s="549"/>
      <c r="E352" s="549"/>
      <c r="F352" s="549"/>
      <c r="G352" s="549"/>
      <c r="H352" s="549"/>
      <c r="I352" s="549"/>
      <c r="J352" s="549"/>
      <c r="K352" s="549"/>
      <c r="L352" s="549"/>
      <c r="M352" s="549"/>
      <c r="N352" s="549"/>
      <c r="O352" s="549"/>
      <c r="P352" s="549"/>
      <c r="Q352" s="549"/>
      <c r="R352" s="549"/>
      <c r="S352" s="549"/>
      <c r="T352" s="549"/>
      <c r="U352" s="549"/>
      <c r="V352" s="549"/>
      <c r="W352" s="549"/>
      <c r="X352" s="549"/>
      <c r="Y352" s="549"/>
      <c r="Z352" s="550"/>
      <c r="AA352" s="27" t="s">
        <v>67</v>
      </c>
      <c r="AB352" s="28" t="s">
        <v>68</v>
      </c>
      <c r="AC352" s="27" t="s">
        <v>69</v>
      </c>
      <c r="AD352" s="27" t="s">
        <v>70</v>
      </c>
      <c r="AE352" s="7"/>
    </row>
    <row r="353" spans="2:33" ht="13.5" thickBot="1" x14ac:dyDescent="0.25">
      <c r="B353" s="29"/>
      <c r="C353" s="30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2"/>
      <c r="AA353" s="33"/>
      <c r="AB353" s="34"/>
      <c r="AC353" s="33"/>
      <c r="AD353" s="35"/>
      <c r="AE353" s="7"/>
    </row>
    <row r="354" spans="2:33" ht="13.5" thickTop="1" x14ac:dyDescent="0.2">
      <c r="B354" s="36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7"/>
      <c r="AB354" s="38"/>
      <c r="AC354" s="37"/>
      <c r="AD354" s="39"/>
    </row>
    <row r="355" spans="2:33" ht="13.5" thickBot="1" x14ac:dyDescent="0.25">
      <c r="B355" s="26" t="s">
        <v>9</v>
      </c>
      <c r="C355" s="18"/>
      <c r="D355" s="18" t="s">
        <v>71</v>
      </c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7"/>
      <c r="AB355" s="38"/>
      <c r="AC355" s="37"/>
      <c r="AD355" s="39"/>
    </row>
    <row r="356" spans="2:33" ht="13.5" thickBot="1" x14ac:dyDescent="0.25">
      <c r="B356" s="36" t="s">
        <v>72</v>
      </c>
      <c r="C356" s="3"/>
      <c r="D356" s="3" t="s">
        <v>73</v>
      </c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551" t="s">
        <v>147</v>
      </c>
      <c r="AB356" s="552"/>
      <c r="AC356" s="553"/>
      <c r="AD356" s="39"/>
    </row>
    <row r="357" spans="2:33" x14ac:dyDescent="0.2">
      <c r="B357" s="36" t="s">
        <v>75</v>
      </c>
      <c r="C357" s="3"/>
      <c r="D357" s="3" t="s">
        <v>57</v>
      </c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7" t="s">
        <v>76</v>
      </c>
      <c r="AB357" s="38">
        <v>25</v>
      </c>
      <c r="AC357" s="37" t="s">
        <v>77</v>
      </c>
      <c r="AD357" s="39"/>
    </row>
    <row r="358" spans="2:33" x14ac:dyDescent="0.2">
      <c r="B358" s="36" t="s">
        <v>78</v>
      </c>
      <c r="C358" s="3"/>
      <c r="D358" s="3" t="s">
        <v>79</v>
      </c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7" t="s">
        <v>80</v>
      </c>
      <c r="AB358" s="38">
        <v>2.5</v>
      </c>
      <c r="AC358" s="37" t="s">
        <v>81</v>
      </c>
      <c r="AD358" s="39"/>
    </row>
    <row r="359" spans="2:33" x14ac:dyDescent="0.2">
      <c r="B359" s="36" t="s">
        <v>82</v>
      </c>
      <c r="C359" s="3"/>
      <c r="D359" s="3" t="s">
        <v>83</v>
      </c>
      <c r="E359" s="3"/>
      <c r="F359" s="3"/>
      <c r="G359" s="3"/>
      <c r="H359" s="3"/>
      <c r="I359" s="3"/>
      <c r="J359" s="3"/>
      <c r="K359" s="3"/>
      <c r="L359" s="3" t="s">
        <v>0</v>
      </c>
      <c r="M359" s="3" t="s">
        <v>38</v>
      </c>
      <c r="N359" s="3" t="s">
        <v>84</v>
      </c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7" t="s">
        <v>24</v>
      </c>
      <c r="AB359" s="38">
        <v>5</v>
      </c>
      <c r="AC359" s="37" t="s">
        <v>85</v>
      </c>
      <c r="AD359" s="39"/>
    </row>
    <row r="360" spans="2:33" x14ac:dyDescent="0.2">
      <c r="B360" s="36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 t="s">
        <v>39</v>
      </c>
      <c r="N360" s="3" t="s">
        <v>86</v>
      </c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7" t="s">
        <v>87</v>
      </c>
      <c r="AB360" s="38">
        <v>2000</v>
      </c>
      <c r="AC360" s="37" t="s">
        <v>54</v>
      </c>
      <c r="AD360" s="39"/>
    </row>
    <row r="361" spans="2:33" x14ac:dyDescent="0.2">
      <c r="B361" s="36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 t="s">
        <v>58</v>
      </c>
      <c r="N361" s="3" t="s">
        <v>88</v>
      </c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7" t="s">
        <v>33</v>
      </c>
      <c r="AB361" s="38">
        <v>775000000</v>
      </c>
      <c r="AC361" s="37" t="s">
        <v>89</v>
      </c>
      <c r="AD361" s="39"/>
    </row>
    <row r="362" spans="2:33" x14ac:dyDescent="0.2">
      <c r="B362" s="36" t="s">
        <v>90</v>
      </c>
      <c r="C362" s="3"/>
      <c r="D362" s="3" t="s">
        <v>91</v>
      </c>
      <c r="E362" s="3"/>
      <c r="F362" s="3"/>
      <c r="G362" s="3"/>
      <c r="H362" s="3"/>
      <c r="I362" s="3"/>
      <c r="J362" s="3"/>
      <c r="K362" s="3"/>
      <c r="L362" s="3" t="s">
        <v>0</v>
      </c>
      <c r="M362" s="3" t="s">
        <v>38</v>
      </c>
      <c r="N362" s="3" t="s">
        <v>84</v>
      </c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7" t="s">
        <v>92</v>
      </c>
      <c r="AB362" s="38">
        <f>+AB359</f>
        <v>5</v>
      </c>
      <c r="AC362" s="37" t="s">
        <v>85</v>
      </c>
      <c r="AD362" s="39"/>
    </row>
    <row r="363" spans="2:33" x14ac:dyDescent="0.2">
      <c r="B363" s="36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 t="s">
        <v>39</v>
      </c>
      <c r="N363" s="3" t="s">
        <v>86</v>
      </c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7" t="s">
        <v>93</v>
      </c>
      <c r="AB363" s="38">
        <f>+AB360</f>
        <v>2000</v>
      </c>
      <c r="AC363" s="37" t="s">
        <v>54</v>
      </c>
      <c r="AD363" s="39"/>
    </row>
    <row r="364" spans="2:33" ht="14.25" x14ac:dyDescent="0.2">
      <c r="B364" s="36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 t="s">
        <v>58</v>
      </c>
      <c r="N364" s="3" t="s">
        <v>94</v>
      </c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7" t="s">
        <v>95</v>
      </c>
      <c r="AB364" s="38">
        <f>+AB361</f>
        <v>775000000</v>
      </c>
      <c r="AC364" s="37" t="s">
        <v>89</v>
      </c>
      <c r="AD364" s="39"/>
    </row>
    <row r="365" spans="2:33" x14ac:dyDescent="0.2">
      <c r="B365" s="36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7"/>
      <c r="AB365" s="38"/>
      <c r="AC365" s="37"/>
      <c r="AD365" s="39"/>
    </row>
    <row r="366" spans="2:33" x14ac:dyDescent="0.2">
      <c r="B366" s="26" t="s">
        <v>4</v>
      </c>
      <c r="C366" s="3"/>
      <c r="D366" s="18" t="s">
        <v>96</v>
      </c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7"/>
      <c r="AB366" s="38"/>
      <c r="AC366" s="37"/>
      <c r="AD366" s="39"/>
    </row>
    <row r="367" spans="2:33" x14ac:dyDescent="0.2">
      <c r="B367" s="36" t="s">
        <v>72</v>
      </c>
      <c r="C367" s="3"/>
      <c r="D367" s="3" t="s">
        <v>97</v>
      </c>
      <c r="E367" s="3"/>
      <c r="F367" s="3"/>
      <c r="G367" s="3"/>
      <c r="H367" s="3"/>
      <c r="I367" s="3"/>
      <c r="J367" s="3"/>
      <c r="K367" s="3"/>
      <c r="L367" s="3"/>
      <c r="M367" s="3" t="s">
        <v>98</v>
      </c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7" t="s">
        <v>34</v>
      </c>
      <c r="AB367" s="38">
        <f>0.1*AB364</f>
        <v>77500000</v>
      </c>
      <c r="AC367" s="37" t="s">
        <v>89</v>
      </c>
      <c r="AD367" s="39"/>
    </row>
    <row r="368" spans="2:33" x14ac:dyDescent="0.2">
      <c r="B368" s="36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7"/>
      <c r="AB368" s="38"/>
      <c r="AC368" s="37"/>
      <c r="AD368" s="39"/>
      <c r="AG368" s="40">
        <f>AB402/100</f>
        <v>0.2</v>
      </c>
    </row>
    <row r="369" spans="2:33" ht="14.25" x14ac:dyDescent="0.2">
      <c r="B369" s="36" t="s">
        <v>75</v>
      </c>
      <c r="C369" s="3"/>
      <c r="D369" s="3" t="s">
        <v>99</v>
      </c>
      <c r="E369" s="3"/>
      <c r="F369" s="3"/>
      <c r="G369" s="3"/>
      <c r="H369" s="3"/>
      <c r="I369" s="3"/>
      <c r="J369" s="3"/>
      <c r="K369" s="3"/>
      <c r="L369" s="3"/>
      <c r="M369" s="3"/>
      <c r="N369" s="3" t="s">
        <v>100</v>
      </c>
      <c r="O369" s="543" t="s">
        <v>101</v>
      </c>
      <c r="P369" s="543"/>
      <c r="Q369" s="543"/>
      <c r="R369" s="543"/>
      <c r="S369" s="543"/>
      <c r="T369" s="543"/>
      <c r="U369" s="3"/>
      <c r="V369" s="3"/>
      <c r="W369" s="3"/>
      <c r="X369" s="3"/>
      <c r="Y369" s="3"/>
      <c r="Z369" s="3"/>
      <c r="AA369" s="37" t="s">
        <v>35</v>
      </c>
      <c r="AB369" s="41">
        <f>AG369/AG370</f>
        <v>0.33437970328961514</v>
      </c>
      <c r="AC369" s="37"/>
      <c r="AD369" s="39"/>
      <c r="AG369" s="40">
        <f>AG368*((1+AG368)^AB362)</f>
        <v>0.497664</v>
      </c>
    </row>
    <row r="370" spans="2:33" ht="14.25" x14ac:dyDescent="0.2">
      <c r="B370" s="36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544" t="s">
        <v>102</v>
      </c>
      <c r="P370" s="544"/>
      <c r="Q370" s="544"/>
      <c r="R370" s="544"/>
      <c r="S370" s="544"/>
      <c r="T370" s="544"/>
      <c r="U370" s="3"/>
      <c r="V370" s="3"/>
      <c r="W370" s="3"/>
      <c r="X370" s="3"/>
      <c r="Y370" s="3"/>
      <c r="Z370" s="3"/>
      <c r="AA370" s="37"/>
      <c r="AB370" s="38"/>
      <c r="AC370" s="37"/>
      <c r="AD370" s="39"/>
      <c r="AG370" s="40">
        <f>((1+AG368)^AB362)-1</f>
        <v>1.4883199999999999</v>
      </c>
    </row>
    <row r="371" spans="2:33" x14ac:dyDescent="0.2">
      <c r="B371" s="36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7"/>
      <c r="AB371" s="38"/>
      <c r="AC371" s="37"/>
      <c r="AD371" s="39"/>
    </row>
    <row r="372" spans="2:33" x14ac:dyDescent="0.2">
      <c r="B372" s="36" t="s">
        <v>78</v>
      </c>
      <c r="C372" s="3"/>
      <c r="D372" s="3" t="s">
        <v>103</v>
      </c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7"/>
      <c r="AB372" s="38"/>
      <c r="AC372" s="37"/>
      <c r="AD372" s="39"/>
    </row>
    <row r="373" spans="2:33" x14ac:dyDescent="0.2">
      <c r="B373" s="36"/>
      <c r="C373" s="3"/>
      <c r="D373" s="3" t="s">
        <v>38</v>
      </c>
      <c r="E373" s="3" t="s">
        <v>104</v>
      </c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 t="s">
        <v>100</v>
      </c>
      <c r="Q373" s="543" t="s">
        <v>105</v>
      </c>
      <c r="R373" s="543"/>
      <c r="S373" s="543"/>
      <c r="T373" s="543"/>
      <c r="U373" s="543"/>
      <c r="V373" s="543"/>
      <c r="W373" s="5"/>
      <c r="X373" s="5"/>
      <c r="Y373" s="3"/>
      <c r="Z373" s="3"/>
      <c r="AA373" s="37" t="s">
        <v>12</v>
      </c>
      <c r="AB373" s="38">
        <f>((AB364-AB367)*AB369)/AB363</f>
        <v>116614.92152225328</v>
      </c>
      <c r="AC373" s="37" t="s">
        <v>89</v>
      </c>
      <c r="AD373" s="39"/>
    </row>
    <row r="374" spans="2:33" x14ac:dyDescent="0.2">
      <c r="B374" s="36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545" t="s">
        <v>93</v>
      </c>
      <c r="R374" s="545"/>
      <c r="S374" s="545"/>
      <c r="T374" s="545"/>
      <c r="U374" s="545"/>
      <c r="V374" s="545"/>
      <c r="W374" s="5"/>
      <c r="X374" s="5"/>
      <c r="Y374" s="3"/>
      <c r="Z374" s="3"/>
      <c r="AA374" s="37"/>
      <c r="AB374" s="38"/>
      <c r="AC374" s="37"/>
      <c r="AD374" s="39"/>
    </row>
    <row r="375" spans="2:33" x14ac:dyDescent="0.2">
      <c r="B375" s="36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7"/>
      <c r="AB375" s="38"/>
      <c r="AC375" s="37"/>
      <c r="AD375" s="39"/>
    </row>
    <row r="376" spans="2:33" x14ac:dyDescent="0.2">
      <c r="B376" s="36"/>
      <c r="C376" s="3"/>
      <c r="D376" s="3" t="s">
        <v>39</v>
      </c>
      <c r="E376" s="3" t="s">
        <v>106</v>
      </c>
      <c r="F376" s="3"/>
      <c r="G376" s="3"/>
      <c r="H376" s="3"/>
      <c r="I376" s="3"/>
      <c r="J376" s="3"/>
      <c r="K376" s="3" t="s">
        <v>100</v>
      </c>
      <c r="L376" s="543" t="s">
        <v>107</v>
      </c>
      <c r="M376" s="543"/>
      <c r="N376" s="543"/>
      <c r="O376" s="543"/>
      <c r="P376" s="543"/>
      <c r="Q376" s="42"/>
      <c r="R376" s="3"/>
      <c r="S376" s="3"/>
      <c r="T376" s="3"/>
      <c r="U376" s="3"/>
      <c r="V376" s="3"/>
      <c r="W376" s="3"/>
      <c r="X376" s="3"/>
      <c r="Y376" s="3"/>
      <c r="Z376" s="3"/>
      <c r="AA376" s="37" t="s">
        <v>13</v>
      </c>
      <c r="AB376" s="38">
        <f>(0.002*AB364)/AB363</f>
        <v>775</v>
      </c>
      <c r="AC376" s="37"/>
      <c r="AD376" s="39"/>
    </row>
    <row r="377" spans="2:33" x14ac:dyDescent="0.2">
      <c r="B377" s="36"/>
      <c r="C377" s="3"/>
      <c r="D377" s="3"/>
      <c r="E377" s="3"/>
      <c r="F377" s="3"/>
      <c r="G377" s="3"/>
      <c r="H377" s="3"/>
      <c r="I377" s="3"/>
      <c r="J377" s="3"/>
      <c r="K377" s="3"/>
      <c r="L377" s="545" t="s">
        <v>93</v>
      </c>
      <c r="M377" s="545"/>
      <c r="N377" s="545"/>
      <c r="O377" s="545"/>
      <c r="P377" s="545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7"/>
      <c r="AB377" s="38"/>
      <c r="AC377" s="37"/>
      <c r="AD377" s="39"/>
    </row>
    <row r="378" spans="2:33" x14ac:dyDescent="0.2">
      <c r="B378" s="36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7"/>
      <c r="AB378" s="38"/>
      <c r="AC378" s="37"/>
      <c r="AD378" s="39"/>
    </row>
    <row r="379" spans="2:33" x14ac:dyDescent="0.2">
      <c r="B379" s="36"/>
      <c r="C379" s="3"/>
      <c r="D379" s="3" t="s">
        <v>108</v>
      </c>
      <c r="E379" s="3"/>
      <c r="F379" s="3"/>
      <c r="G379" s="3"/>
      <c r="H379" s="3"/>
      <c r="I379" s="3"/>
      <c r="J379" s="3"/>
      <c r="K379" s="3"/>
      <c r="L379" s="3"/>
      <c r="M379" s="3" t="s">
        <v>100</v>
      </c>
      <c r="N379" s="3" t="s">
        <v>109</v>
      </c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7" t="s">
        <v>14</v>
      </c>
      <c r="AB379" s="38">
        <f>AB373+AB376</f>
        <v>117389.92152225328</v>
      </c>
      <c r="AC379" s="37" t="s">
        <v>89</v>
      </c>
      <c r="AD379" s="39"/>
    </row>
    <row r="380" spans="2:33" x14ac:dyDescent="0.2">
      <c r="B380" s="36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7"/>
      <c r="AB380" s="38"/>
      <c r="AC380" s="37"/>
      <c r="AD380" s="39"/>
    </row>
    <row r="381" spans="2:33" x14ac:dyDescent="0.2">
      <c r="B381" s="26" t="s">
        <v>10</v>
      </c>
      <c r="C381" s="3"/>
      <c r="D381" s="18" t="s">
        <v>110</v>
      </c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7"/>
      <c r="AB381" s="38"/>
      <c r="AC381" s="37"/>
      <c r="AD381" s="39"/>
    </row>
    <row r="382" spans="2:33" x14ac:dyDescent="0.2">
      <c r="B382" s="36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7"/>
      <c r="AB382" s="38"/>
      <c r="AC382" s="37"/>
      <c r="AD382" s="39"/>
    </row>
    <row r="383" spans="2:33" x14ac:dyDescent="0.2">
      <c r="B383" s="36" t="s">
        <v>72</v>
      </c>
      <c r="C383" s="3"/>
      <c r="D383" s="3" t="s">
        <v>111</v>
      </c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7" t="s">
        <v>15</v>
      </c>
      <c r="AB383" s="38">
        <f>0.12*AB357*AB406</f>
        <v>33000</v>
      </c>
      <c r="AC383" s="37" t="s">
        <v>89</v>
      </c>
      <c r="AD383" s="39"/>
    </row>
    <row r="384" spans="2:33" x14ac:dyDescent="0.2">
      <c r="B384" s="36"/>
      <c r="C384" s="3"/>
      <c r="D384" s="4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7"/>
      <c r="AB384" s="38"/>
      <c r="AC384" s="37"/>
      <c r="AD384" s="39"/>
    </row>
    <row r="385" spans="2:30" x14ac:dyDescent="0.2">
      <c r="B385" s="36" t="s">
        <v>75</v>
      </c>
      <c r="C385" s="3"/>
      <c r="D385" s="3" t="s">
        <v>112</v>
      </c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7" t="s">
        <v>42</v>
      </c>
      <c r="AB385" s="38">
        <f>0.025*AB357*AB407</f>
        <v>15812.5</v>
      </c>
      <c r="AC385" s="37" t="s">
        <v>89</v>
      </c>
      <c r="AD385" s="39"/>
    </row>
    <row r="386" spans="2:30" x14ac:dyDescent="0.2">
      <c r="B386" s="36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7"/>
      <c r="AB386" s="38"/>
      <c r="AC386" s="37"/>
      <c r="AD386" s="39"/>
    </row>
    <row r="387" spans="2:30" x14ac:dyDescent="0.2">
      <c r="B387" s="36" t="s">
        <v>78</v>
      </c>
      <c r="C387" s="3"/>
      <c r="D387" s="3" t="s">
        <v>113</v>
      </c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543" t="s">
        <v>114</v>
      </c>
      <c r="P387" s="543"/>
      <c r="Q387" s="543"/>
      <c r="R387" s="543"/>
      <c r="S387" s="543"/>
      <c r="T387" s="543"/>
      <c r="U387" s="543"/>
      <c r="V387" s="543"/>
      <c r="W387" s="543"/>
      <c r="X387" s="42"/>
      <c r="Y387" s="42"/>
      <c r="Z387" s="3"/>
      <c r="AA387" s="37" t="s">
        <v>115</v>
      </c>
      <c r="AB387" s="38">
        <f>(0.125*AB364)/AB363</f>
        <v>48437.5</v>
      </c>
      <c r="AC387" s="37" t="s">
        <v>89</v>
      </c>
      <c r="AD387" s="39"/>
    </row>
    <row r="388" spans="2:30" x14ac:dyDescent="0.2">
      <c r="B388" s="36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544" t="s">
        <v>93</v>
      </c>
      <c r="P388" s="544"/>
      <c r="Q388" s="544"/>
      <c r="R388" s="544"/>
      <c r="S388" s="544"/>
      <c r="T388" s="544"/>
      <c r="U388" s="544"/>
      <c r="V388" s="544"/>
      <c r="W388" s="544"/>
      <c r="X388" s="42"/>
      <c r="Y388" s="42"/>
      <c r="Z388" s="3"/>
      <c r="AA388" s="37"/>
      <c r="AB388" s="38"/>
      <c r="AC388" s="37"/>
      <c r="AD388" s="39"/>
    </row>
    <row r="389" spans="2:30" x14ac:dyDescent="0.2">
      <c r="B389" s="36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5"/>
      <c r="P389" s="5"/>
      <c r="Q389" s="5"/>
      <c r="R389" s="5"/>
      <c r="S389" s="5"/>
      <c r="T389" s="5"/>
      <c r="U389" s="5"/>
      <c r="V389" s="5"/>
      <c r="W389" s="5"/>
      <c r="X389" s="42"/>
      <c r="Y389" s="42"/>
      <c r="Z389" s="3"/>
      <c r="AA389" s="37"/>
      <c r="AB389" s="38"/>
      <c r="AC389" s="37"/>
      <c r="AD389" s="39"/>
    </row>
    <row r="390" spans="2:30" x14ac:dyDescent="0.2">
      <c r="B390" s="36" t="s">
        <v>90</v>
      </c>
      <c r="C390" s="3"/>
      <c r="D390" s="45" t="s">
        <v>116</v>
      </c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543" t="s">
        <v>117</v>
      </c>
      <c r="P390" s="543"/>
      <c r="Q390" s="543"/>
      <c r="R390" s="543"/>
      <c r="S390" s="543"/>
      <c r="T390" s="543"/>
      <c r="U390" s="543"/>
      <c r="V390" s="543"/>
      <c r="W390" s="543"/>
      <c r="X390" s="42"/>
      <c r="Y390" s="42"/>
      <c r="Z390" s="3"/>
      <c r="AA390" s="37" t="s">
        <v>55</v>
      </c>
      <c r="AB390" s="38">
        <f>(0.0875*AB361)/AB363</f>
        <v>33906.25</v>
      </c>
      <c r="AC390" s="37" t="s">
        <v>89</v>
      </c>
      <c r="AD390" s="39"/>
    </row>
    <row r="391" spans="2:30" x14ac:dyDescent="0.2">
      <c r="B391" s="36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544" t="s">
        <v>93</v>
      </c>
      <c r="P391" s="544"/>
      <c r="Q391" s="544"/>
      <c r="R391" s="544"/>
      <c r="S391" s="544"/>
      <c r="T391" s="544"/>
      <c r="U391" s="544"/>
      <c r="V391" s="544"/>
      <c r="W391" s="544"/>
      <c r="X391" s="42"/>
      <c r="Y391" s="42"/>
      <c r="Z391" s="3"/>
      <c r="AA391" s="37"/>
      <c r="AB391" s="38"/>
      <c r="AC391" s="37"/>
      <c r="AD391" s="39"/>
    </row>
    <row r="392" spans="2:30" x14ac:dyDescent="0.2">
      <c r="B392" s="36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7"/>
      <c r="AB392" s="38"/>
      <c r="AC392" s="37"/>
      <c r="AD392" s="39"/>
    </row>
    <row r="393" spans="2:30" x14ac:dyDescent="0.2">
      <c r="B393" s="36" t="s">
        <v>118</v>
      </c>
      <c r="C393" s="3"/>
      <c r="D393" s="3" t="s">
        <v>119</v>
      </c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7" t="s">
        <v>43</v>
      </c>
      <c r="AB393" s="38">
        <f>1*AB403</f>
        <v>9000</v>
      </c>
      <c r="AC393" s="37" t="s">
        <v>89</v>
      </c>
      <c r="AD393" s="39"/>
    </row>
    <row r="394" spans="2:30" x14ac:dyDescent="0.2">
      <c r="B394" s="36" t="s">
        <v>120</v>
      </c>
      <c r="C394" s="3"/>
      <c r="D394" s="3" t="s">
        <v>121</v>
      </c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7" t="s">
        <v>122</v>
      </c>
      <c r="AB394" s="38">
        <f>1*AB404</f>
        <v>9714.2857142857138</v>
      </c>
      <c r="AC394" s="37" t="s">
        <v>89</v>
      </c>
      <c r="AD394" s="39"/>
    </row>
    <row r="395" spans="2:30" x14ac:dyDescent="0.2">
      <c r="B395" s="36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7"/>
      <c r="AB395" s="38"/>
      <c r="AC395" s="37"/>
      <c r="AD395" s="39"/>
    </row>
    <row r="396" spans="2:30" x14ac:dyDescent="0.2">
      <c r="B396" s="36"/>
      <c r="C396" s="3"/>
      <c r="D396" s="3" t="s">
        <v>123</v>
      </c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7" t="s">
        <v>124</v>
      </c>
      <c r="AB396" s="38">
        <f>AB383+AB385+AB387+AB393+AB394+AB390</f>
        <v>149870.53571428571</v>
      </c>
      <c r="AC396" s="37" t="s">
        <v>89</v>
      </c>
      <c r="AD396" s="39"/>
    </row>
    <row r="397" spans="2:30" ht="13.5" thickBot="1" x14ac:dyDescent="0.25">
      <c r="B397" s="36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7"/>
      <c r="AB397" s="38"/>
      <c r="AC397" s="37"/>
      <c r="AD397" s="39"/>
    </row>
    <row r="398" spans="2:30" ht="13.5" thickBot="1" x14ac:dyDescent="0.25">
      <c r="B398" s="26" t="s">
        <v>11</v>
      </c>
      <c r="C398" s="3"/>
      <c r="D398" s="18" t="s">
        <v>125</v>
      </c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46" t="s">
        <v>126</v>
      </c>
      <c r="AB398" s="47">
        <f>AB379+AB396</f>
        <v>267260.45723653899</v>
      </c>
      <c r="AC398" s="46" t="s">
        <v>89</v>
      </c>
      <c r="AD398" s="39"/>
    </row>
    <row r="399" spans="2:30" x14ac:dyDescent="0.2">
      <c r="B399" s="36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7"/>
      <c r="AB399" s="38"/>
      <c r="AC399" s="37"/>
      <c r="AD399" s="39"/>
    </row>
    <row r="400" spans="2:30" x14ac:dyDescent="0.2">
      <c r="B400" s="36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7"/>
      <c r="AB400" s="38"/>
      <c r="AC400" s="37"/>
      <c r="AD400" s="39"/>
    </row>
    <row r="401" spans="2:31" x14ac:dyDescent="0.2">
      <c r="B401" s="26" t="s">
        <v>16</v>
      </c>
      <c r="C401" s="18"/>
      <c r="D401" s="18" t="s">
        <v>127</v>
      </c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7"/>
      <c r="AB401" s="38"/>
      <c r="AC401" s="37"/>
      <c r="AD401" s="39"/>
    </row>
    <row r="402" spans="2:31" x14ac:dyDescent="0.2">
      <c r="B402" s="36" t="s">
        <v>72</v>
      </c>
      <c r="C402" s="3"/>
      <c r="D402" s="3" t="s">
        <v>128</v>
      </c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7" t="s">
        <v>129</v>
      </c>
      <c r="AB402" s="38">
        <v>20</v>
      </c>
      <c r="AC402" s="37" t="s">
        <v>130</v>
      </c>
      <c r="AD402" s="39"/>
    </row>
    <row r="403" spans="2:31" x14ac:dyDescent="0.2">
      <c r="B403" s="36" t="s">
        <v>75</v>
      </c>
      <c r="C403" s="3"/>
      <c r="D403" s="3" t="s">
        <v>131</v>
      </c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7" t="s">
        <v>132</v>
      </c>
      <c r="AB403" s="38">
        <f>'[14]Daftar Upah'!$F$17/7</f>
        <v>9000</v>
      </c>
      <c r="AC403" s="37" t="s">
        <v>133</v>
      </c>
      <c r="AD403" s="39"/>
    </row>
    <row r="404" spans="2:31" x14ac:dyDescent="0.2">
      <c r="B404" s="36" t="s">
        <v>78</v>
      </c>
      <c r="C404" s="3"/>
      <c r="D404" s="3" t="s">
        <v>134</v>
      </c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7" t="s">
        <v>135</v>
      </c>
      <c r="AB404" s="38">
        <f>'[14]Daftar Upah'!$F$16/7</f>
        <v>9714.2857142857138</v>
      </c>
      <c r="AC404" s="37" t="s">
        <v>133</v>
      </c>
      <c r="AD404" s="39"/>
    </row>
    <row r="405" spans="2:31" x14ac:dyDescent="0.2">
      <c r="B405" s="36" t="s">
        <v>82</v>
      </c>
      <c r="C405" s="3"/>
      <c r="D405" s="3" t="s">
        <v>136</v>
      </c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7" t="s">
        <v>137</v>
      </c>
      <c r="AB405" s="38">
        <f>AB406</f>
        <v>11000</v>
      </c>
      <c r="AC405" s="37" t="s">
        <v>40</v>
      </c>
      <c r="AD405" s="39"/>
    </row>
    <row r="406" spans="2:31" x14ac:dyDescent="0.2">
      <c r="B406" s="36" t="s">
        <v>90</v>
      </c>
      <c r="C406" s="3"/>
      <c r="D406" s="3" t="s">
        <v>138</v>
      </c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7" t="s">
        <v>139</v>
      </c>
      <c r="AB406" s="38">
        <f>'[14]Daftar Bahan'!$G$11</f>
        <v>11000</v>
      </c>
      <c r="AC406" s="37" t="s">
        <v>40</v>
      </c>
      <c r="AD406" s="39"/>
    </row>
    <row r="407" spans="2:31" x14ac:dyDescent="0.2">
      <c r="B407" s="36" t="s">
        <v>118</v>
      </c>
      <c r="C407" s="3"/>
      <c r="D407" s="3" t="s">
        <v>53</v>
      </c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7" t="s">
        <v>140</v>
      </c>
      <c r="AB407" s="38">
        <f>'[14]Daftar Bahan'!$G$12</f>
        <v>25300</v>
      </c>
      <c r="AC407" s="37" t="s">
        <v>40</v>
      </c>
      <c r="AD407" s="39"/>
    </row>
    <row r="408" spans="2:31" x14ac:dyDescent="0.2">
      <c r="B408" s="36" t="s">
        <v>120</v>
      </c>
      <c r="C408" s="3"/>
      <c r="D408" s="3" t="s">
        <v>141</v>
      </c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7"/>
      <c r="AB408" s="38"/>
      <c r="AC408" s="37"/>
      <c r="AD408" s="39"/>
    </row>
    <row r="409" spans="2:31" x14ac:dyDescent="0.2">
      <c r="B409" s="36"/>
      <c r="C409" s="3"/>
      <c r="D409" s="3" t="s">
        <v>142</v>
      </c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7"/>
      <c r="AB409" s="38"/>
      <c r="AC409" s="37"/>
      <c r="AD409" s="39"/>
    </row>
    <row r="410" spans="2:31" x14ac:dyDescent="0.2">
      <c r="B410" s="49"/>
      <c r="C410" s="50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2"/>
      <c r="AA410" s="53"/>
      <c r="AB410" s="54"/>
      <c r="AC410" s="53"/>
      <c r="AD410" s="55"/>
    </row>
    <row r="411" spans="2:31" x14ac:dyDescent="0.2">
      <c r="B411" s="56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57"/>
      <c r="AB411" s="58"/>
      <c r="AC411" s="57"/>
      <c r="AD411" s="7"/>
    </row>
    <row r="412" spans="2:31" ht="15" x14ac:dyDescent="0.2">
      <c r="B412" s="546" t="s">
        <v>65</v>
      </c>
      <c r="C412" s="546"/>
      <c r="D412" s="546"/>
      <c r="E412" s="546"/>
      <c r="F412" s="546"/>
      <c r="G412" s="546"/>
      <c r="H412" s="546"/>
      <c r="I412" s="546"/>
      <c r="J412" s="546"/>
      <c r="K412" s="546"/>
      <c r="L412" s="546"/>
      <c r="M412" s="546"/>
      <c r="N412" s="546"/>
      <c r="O412" s="546"/>
      <c r="P412" s="546"/>
      <c r="Q412" s="546"/>
      <c r="R412" s="546"/>
      <c r="S412" s="546"/>
      <c r="T412" s="546"/>
      <c r="U412" s="546"/>
      <c r="V412" s="546"/>
      <c r="W412" s="546"/>
      <c r="X412" s="546"/>
      <c r="Y412" s="546"/>
      <c r="Z412" s="546"/>
      <c r="AA412" s="546"/>
      <c r="AB412" s="546"/>
      <c r="AC412" s="546"/>
      <c r="AD412" s="546"/>
      <c r="AE412" s="7"/>
    </row>
    <row r="413" spans="2:31" x14ac:dyDescent="0.2"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10"/>
      <c r="AC413" s="9"/>
      <c r="AD413" s="9"/>
      <c r="AE413" s="7"/>
    </row>
    <row r="414" spans="2:31" x14ac:dyDescent="0.2">
      <c r="B414" s="11" t="s">
        <v>1</v>
      </c>
      <c r="C414" s="12"/>
      <c r="D414" s="12"/>
      <c r="E414" s="12"/>
      <c r="F414" s="12"/>
      <c r="G414" s="11"/>
      <c r="H414" s="11"/>
      <c r="I414" s="13"/>
      <c r="J414" s="11" t="s">
        <v>0</v>
      </c>
      <c r="K414" s="13" t="e">
        <f>$K$280</f>
        <v>#REF!</v>
      </c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10"/>
      <c r="AC414" s="9"/>
      <c r="AD414" s="9"/>
      <c r="AE414" s="7"/>
    </row>
    <row r="415" spans="2:31" x14ac:dyDescent="0.2">
      <c r="B415" s="11"/>
      <c r="C415" s="12"/>
      <c r="D415" s="12"/>
      <c r="E415" s="12"/>
      <c r="F415" s="12"/>
      <c r="G415" s="11"/>
      <c r="H415" s="11"/>
      <c r="I415" s="13"/>
      <c r="J415" s="11"/>
      <c r="K415" s="13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10"/>
      <c r="AC415" s="9"/>
      <c r="AD415" s="9"/>
      <c r="AE415" s="7"/>
    </row>
    <row r="416" spans="2:31" x14ac:dyDescent="0.2">
      <c r="B416" s="15" t="s">
        <v>3</v>
      </c>
      <c r="C416" s="3"/>
      <c r="D416" s="3"/>
      <c r="E416" s="3"/>
      <c r="F416" s="3"/>
      <c r="G416" s="3"/>
      <c r="H416" s="3"/>
      <c r="I416" s="3"/>
      <c r="J416" s="3" t="s">
        <v>0</v>
      </c>
      <c r="K416" s="547">
        <v>2017</v>
      </c>
      <c r="L416" s="547"/>
      <c r="M416" s="547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5"/>
      <c r="AB416" s="16"/>
      <c r="AC416" s="17"/>
      <c r="AD416" s="18"/>
      <c r="AE416" s="7"/>
    </row>
    <row r="417" spans="2:31" x14ac:dyDescent="0.2">
      <c r="B417" s="15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5"/>
      <c r="AB417" s="16"/>
      <c r="AC417" s="17"/>
      <c r="AD417" s="18"/>
      <c r="AE417" s="7"/>
    </row>
    <row r="418" spans="2:31" x14ac:dyDescent="0.2">
      <c r="B418" s="19"/>
      <c r="C418" s="20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2"/>
      <c r="AA418" s="23"/>
      <c r="AB418" s="24"/>
      <c r="AC418" s="23"/>
      <c r="AD418" s="25"/>
      <c r="AE418" s="7"/>
    </row>
    <row r="419" spans="2:31" x14ac:dyDescent="0.2">
      <c r="B419" s="26" t="s">
        <v>5</v>
      </c>
      <c r="C419" s="548" t="s">
        <v>66</v>
      </c>
      <c r="D419" s="549"/>
      <c r="E419" s="549"/>
      <c r="F419" s="549"/>
      <c r="G419" s="549"/>
      <c r="H419" s="549"/>
      <c r="I419" s="549"/>
      <c r="J419" s="549"/>
      <c r="K419" s="549"/>
      <c r="L419" s="549"/>
      <c r="M419" s="549"/>
      <c r="N419" s="549"/>
      <c r="O419" s="549"/>
      <c r="P419" s="549"/>
      <c r="Q419" s="549"/>
      <c r="R419" s="549"/>
      <c r="S419" s="549"/>
      <c r="T419" s="549"/>
      <c r="U419" s="549"/>
      <c r="V419" s="549"/>
      <c r="W419" s="549"/>
      <c r="X419" s="549"/>
      <c r="Y419" s="549"/>
      <c r="Z419" s="550"/>
      <c r="AA419" s="27" t="s">
        <v>67</v>
      </c>
      <c r="AB419" s="28" t="s">
        <v>68</v>
      </c>
      <c r="AC419" s="27" t="s">
        <v>69</v>
      </c>
      <c r="AD419" s="27" t="s">
        <v>70</v>
      </c>
      <c r="AE419" s="7"/>
    </row>
    <row r="420" spans="2:31" ht="13.5" thickBot="1" x14ac:dyDescent="0.25">
      <c r="B420" s="29"/>
      <c r="C420" s="30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2"/>
      <c r="AA420" s="33"/>
      <c r="AB420" s="34"/>
      <c r="AC420" s="33"/>
      <c r="AD420" s="35"/>
      <c r="AE420" s="7"/>
    </row>
    <row r="421" spans="2:31" ht="13.5" thickTop="1" x14ac:dyDescent="0.2">
      <c r="B421" s="36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7"/>
      <c r="AB421" s="38"/>
      <c r="AC421" s="37"/>
      <c r="AD421" s="39"/>
    </row>
    <row r="422" spans="2:31" ht="13.5" thickBot="1" x14ac:dyDescent="0.25">
      <c r="B422" s="26" t="s">
        <v>9</v>
      </c>
      <c r="C422" s="18"/>
      <c r="D422" s="18" t="s">
        <v>71</v>
      </c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7"/>
      <c r="AB422" s="38"/>
      <c r="AC422" s="37"/>
      <c r="AD422" s="39"/>
    </row>
    <row r="423" spans="2:31" ht="13.5" thickBot="1" x14ac:dyDescent="0.25">
      <c r="B423" s="36" t="s">
        <v>72</v>
      </c>
      <c r="C423" s="3"/>
      <c r="D423" s="3" t="s">
        <v>73</v>
      </c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551" t="s">
        <v>148</v>
      </c>
      <c r="AB423" s="552"/>
      <c r="AC423" s="553"/>
      <c r="AD423" s="39"/>
    </row>
    <row r="424" spans="2:31" x14ac:dyDescent="0.2">
      <c r="B424" s="36" t="s">
        <v>75</v>
      </c>
      <c r="C424" s="3"/>
      <c r="D424" s="3" t="s">
        <v>57</v>
      </c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7" t="s">
        <v>76</v>
      </c>
      <c r="AB424" s="38">
        <v>40</v>
      </c>
      <c r="AC424" s="37" t="s">
        <v>77</v>
      </c>
      <c r="AD424" s="39"/>
    </row>
    <row r="425" spans="2:31" x14ac:dyDescent="0.2">
      <c r="B425" s="36" t="s">
        <v>78</v>
      </c>
      <c r="C425" s="3"/>
      <c r="D425" s="3" t="s">
        <v>79</v>
      </c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7" t="s">
        <v>80</v>
      </c>
      <c r="AB425" s="38">
        <v>250</v>
      </c>
      <c r="AC425" s="37" t="s">
        <v>81</v>
      </c>
      <c r="AD425" s="39"/>
    </row>
    <row r="426" spans="2:31" x14ac:dyDescent="0.2">
      <c r="B426" s="36" t="s">
        <v>82</v>
      </c>
      <c r="C426" s="3"/>
      <c r="D426" s="3" t="s">
        <v>83</v>
      </c>
      <c r="E426" s="3"/>
      <c r="F426" s="3"/>
      <c r="G426" s="3"/>
      <c r="H426" s="3"/>
      <c r="I426" s="3"/>
      <c r="J426" s="3"/>
      <c r="K426" s="3"/>
      <c r="L426" s="3" t="s">
        <v>0</v>
      </c>
      <c r="M426" s="3" t="s">
        <v>38</v>
      </c>
      <c r="N426" s="3" t="s">
        <v>84</v>
      </c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7" t="s">
        <v>24</v>
      </c>
      <c r="AB426" s="38">
        <v>5</v>
      </c>
      <c r="AC426" s="37" t="s">
        <v>85</v>
      </c>
      <c r="AD426" s="39"/>
    </row>
    <row r="427" spans="2:31" x14ac:dyDescent="0.2">
      <c r="B427" s="36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 t="s">
        <v>39</v>
      </c>
      <c r="N427" s="3" t="s">
        <v>86</v>
      </c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7" t="s">
        <v>87</v>
      </c>
      <c r="AB427" s="38">
        <v>2000</v>
      </c>
      <c r="AC427" s="37" t="s">
        <v>54</v>
      </c>
      <c r="AD427" s="39"/>
    </row>
    <row r="428" spans="2:31" x14ac:dyDescent="0.2">
      <c r="B428" s="36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 t="s">
        <v>58</v>
      </c>
      <c r="N428" s="3" t="s">
        <v>88</v>
      </c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7" t="s">
        <v>33</v>
      </c>
      <c r="AB428" s="38">
        <v>8000000</v>
      </c>
      <c r="AC428" s="37" t="s">
        <v>89</v>
      </c>
      <c r="AD428" s="39"/>
    </row>
    <row r="429" spans="2:31" x14ac:dyDescent="0.2">
      <c r="B429" s="36" t="s">
        <v>90</v>
      </c>
      <c r="C429" s="3"/>
      <c r="D429" s="3" t="s">
        <v>91</v>
      </c>
      <c r="E429" s="3"/>
      <c r="F429" s="3"/>
      <c r="G429" s="3"/>
      <c r="H429" s="3"/>
      <c r="I429" s="3"/>
      <c r="J429" s="3"/>
      <c r="K429" s="3"/>
      <c r="L429" s="3" t="s">
        <v>0</v>
      </c>
      <c r="M429" s="3" t="s">
        <v>38</v>
      </c>
      <c r="N429" s="3" t="s">
        <v>84</v>
      </c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7" t="s">
        <v>92</v>
      </c>
      <c r="AB429" s="38">
        <f>+AB426</f>
        <v>5</v>
      </c>
      <c r="AC429" s="37" t="s">
        <v>85</v>
      </c>
      <c r="AD429" s="39"/>
    </row>
    <row r="430" spans="2:31" x14ac:dyDescent="0.2">
      <c r="B430" s="36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 t="s">
        <v>39</v>
      </c>
      <c r="N430" s="3" t="s">
        <v>86</v>
      </c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7" t="s">
        <v>93</v>
      </c>
      <c r="AB430" s="38">
        <f>+AB427</f>
        <v>2000</v>
      </c>
      <c r="AC430" s="37" t="s">
        <v>54</v>
      </c>
      <c r="AD430" s="39"/>
    </row>
    <row r="431" spans="2:31" ht="14.25" x14ac:dyDescent="0.2">
      <c r="B431" s="36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 t="s">
        <v>58</v>
      </c>
      <c r="N431" s="3" t="s">
        <v>94</v>
      </c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7" t="s">
        <v>95</v>
      </c>
      <c r="AB431" s="38">
        <f>+AB428</f>
        <v>8000000</v>
      </c>
      <c r="AC431" s="37" t="s">
        <v>89</v>
      </c>
      <c r="AD431" s="39"/>
    </row>
    <row r="432" spans="2:31" x14ac:dyDescent="0.2">
      <c r="B432" s="36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7"/>
      <c r="AB432" s="38"/>
      <c r="AC432" s="37"/>
      <c r="AD432" s="39"/>
    </row>
    <row r="433" spans="2:33" x14ac:dyDescent="0.2">
      <c r="B433" s="26" t="s">
        <v>4</v>
      </c>
      <c r="C433" s="3"/>
      <c r="D433" s="18" t="s">
        <v>96</v>
      </c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7"/>
      <c r="AB433" s="38"/>
      <c r="AC433" s="37"/>
      <c r="AD433" s="39"/>
    </row>
    <row r="434" spans="2:33" x14ac:dyDescent="0.2">
      <c r="B434" s="36" t="s">
        <v>72</v>
      </c>
      <c r="C434" s="3"/>
      <c r="D434" s="3" t="s">
        <v>97</v>
      </c>
      <c r="E434" s="3"/>
      <c r="F434" s="3"/>
      <c r="G434" s="3"/>
      <c r="H434" s="3"/>
      <c r="I434" s="3"/>
      <c r="J434" s="3"/>
      <c r="K434" s="3"/>
      <c r="L434" s="3"/>
      <c r="M434" s="3" t="s">
        <v>98</v>
      </c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7" t="s">
        <v>34</v>
      </c>
      <c r="AB434" s="38">
        <f>0.1*AB431</f>
        <v>800000</v>
      </c>
      <c r="AC434" s="37" t="s">
        <v>89</v>
      </c>
      <c r="AD434" s="39"/>
    </row>
    <row r="435" spans="2:33" x14ac:dyDescent="0.2">
      <c r="B435" s="36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7"/>
      <c r="AB435" s="38"/>
      <c r="AC435" s="37"/>
      <c r="AD435" s="39"/>
      <c r="AG435" s="40">
        <f>AB469/100</f>
        <v>0.2</v>
      </c>
    </row>
    <row r="436" spans="2:33" ht="14.25" x14ac:dyDescent="0.2">
      <c r="B436" s="36" t="s">
        <v>75</v>
      </c>
      <c r="C436" s="3"/>
      <c r="D436" s="3" t="s">
        <v>99</v>
      </c>
      <c r="E436" s="3"/>
      <c r="F436" s="3"/>
      <c r="G436" s="3"/>
      <c r="H436" s="3"/>
      <c r="I436" s="3"/>
      <c r="J436" s="3"/>
      <c r="K436" s="3"/>
      <c r="L436" s="3"/>
      <c r="M436" s="3"/>
      <c r="N436" s="3" t="s">
        <v>100</v>
      </c>
      <c r="O436" s="543" t="s">
        <v>101</v>
      </c>
      <c r="P436" s="543"/>
      <c r="Q436" s="543"/>
      <c r="R436" s="543"/>
      <c r="S436" s="543"/>
      <c r="T436" s="543"/>
      <c r="U436" s="3"/>
      <c r="V436" s="3"/>
      <c r="W436" s="3"/>
      <c r="X436" s="3"/>
      <c r="Y436" s="3"/>
      <c r="Z436" s="3"/>
      <c r="AA436" s="37" t="s">
        <v>35</v>
      </c>
      <c r="AB436" s="41">
        <f>AG436/AG437</f>
        <v>0.33437970328961514</v>
      </c>
      <c r="AC436" s="37"/>
      <c r="AD436" s="39"/>
      <c r="AG436" s="40">
        <f>AG435*((1+AG435)^AB429)</f>
        <v>0.497664</v>
      </c>
    </row>
    <row r="437" spans="2:33" ht="14.25" x14ac:dyDescent="0.2">
      <c r="B437" s="36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544" t="s">
        <v>102</v>
      </c>
      <c r="P437" s="544"/>
      <c r="Q437" s="544"/>
      <c r="R437" s="544"/>
      <c r="S437" s="544"/>
      <c r="T437" s="544"/>
      <c r="U437" s="3"/>
      <c r="V437" s="3"/>
      <c r="W437" s="3"/>
      <c r="X437" s="3"/>
      <c r="Y437" s="3"/>
      <c r="Z437" s="3"/>
      <c r="AA437" s="37"/>
      <c r="AB437" s="38"/>
      <c r="AC437" s="37"/>
      <c r="AD437" s="39"/>
      <c r="AG437" s="40">
        <f>((1+AG435)^AB429)-1</f>
        <v>1.4883199999999999</v>
      </c>
    </row>
    <row r="438" spans="2:33" x14ac:dyDescent="0.2">
      <c r="B438" s="36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7"/>
      <c r="AB438" s="38"/>
      <c r="AC438" s="37"/>
      <c r="AD438" s="39"/>
    </row>
    <row r="439" spans="2:33" x14ac:dyDescent="0.2">
      <c r="B439" s="36" t="s">
        <v>78</v>
      </c>
      <c r="C439" s="3"/>
      <c r="D439" s="3" t="s">
        <v>103</v>
      </c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7"/>
      <c r="AB439" s="38"/>
      <c r="AC439" s="37"/>
      <c r="AD439" s="39"/>
    </row>
    <row r="440" spans="2:33" x14ac:dyDescent="0.2">
      <c r="B440" s="36"/>
      <c r="C440" s="3"/>
      <c r="D440" s="3" t="s">
        <v>38</v>
      </c>
      <c r="E440" s="3" t="s">
        <v>104</v>
      </c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 t="s">
        <v>100</v>
      </c>
      <c r="Q440" s="543" t="s">
        <v>105</v>
      </c>
      <c r="R440" s="543"/>
      <c r="S440" s="543"/>
      <c r="T440" s="543"/>
      <c r="U440" s="543"/>
      <c r="V440" s="543"/>
      <c r="W440" s="5"/>
      <c r="X440" s="5"/>
      <c r="Y440" s="3"/>
      <c r="Z440" s="3"/>
      <c r="AA440" s="37" t="s">
        <v>12</v>
      </c>
      <c r="AB440" s="38">
        <f>((AB431-AB434)*AB436)/AB430</f>
        <v>1203.7669318426144</v>
      </c>
      <c r="AC440" s="37" t="s">
        <v>89</v>
      </c>
      <c r="AD440" s="39"/>
    </row>
    <row r="441" spans="2:33" x14ac:dyDescent="0.2">
      <c r="B441" s="36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545" t="s">
        <v>93</v>
      </c>
      <c r="R441" s="545"/>
      <c r="S441" s="545"/>
      <c r="T441" s="545"/>
      <c r="U441" s="545"/>
      <c r="V441" s="545"/>
      <c r="W441" s="5"/>
      <c r="X441" s="5"/>
      <c r="Y441" s="3"/>
      <c r="Z441" s="3"/>
      <c r="AA441" s="37"/>
      <c r="AB441" s="38"/>
      <c r="AC441" s="37"/>
      <c r="AD441" s="39"/>
    </row>
    <row r="442" spans="2:33" x14ac:dyDescent="0.2">
      <c r="B442" s="36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7"/>
      <c r="AB442" s="38"/>
      <c r="AC442" s="37"/>
      <c r="AD442" s="39"/>
    </row>
    <row r="443" spans="2:33" x14ac:dyDescent="0.2">
      <c r="B443" s="36"/>
      <c r="C443" s="3"/>
      <c r="D443" s="3" t="s">
        <v>39</v>
      </c>
      <c r="E443" s="3" t="s">
        <v>106</v>
      </c>
      <c r="F443" s="3"/>
      <c r="G443" s="3"/>
      <c r="H443" s="3"/>
      <c r="I443" s="3"/>
      <c r="J443" s="3"/>
      <c r="K443" s="3" t="s">
        <v>100</v>
      </c>
      <c r="L443" s="543" t="s">
        <v>107</v>
      </c>
      <c r="M443" s="543"/>
      <c r="N443" s="543"/>
      <c r="O443" s="543"/>
      <c r="P443" s="543"/>
      <c r="Q443" s="42"/>
      <c r="R443" s="3"/>
      <c r="S443" s="3"/>
      <c r="T443" s="3"/>
      <c r="U443" s="3"/>
      <c r="V443" s="3"/>
      <c r="W443" s="3"/>
      <c r="X443" s="3"/>
      <c r="Y443" s="3"/>
      <c r="Z443" s="3"/>
      <c r="AA443" s="37" t="s">
        <v>13</v>
      </c>
      <c r="AB443" s="38">
        <f>(0.002*AB431)/AB430</f>
        <v>8</v>
      </c>
      <c r="AC443" s="37"/>
      <c r="AD443" s="39"/>
    </row>
    <row r="444" spans="2:33" x14ac:dyDescent="0.2">
      <c r="B444" s="36"/>
      <c r="C444" s="3"/>
      <c r="D444" s="3"/>
      <c r="E444" s="3"/>
      <c r="F444" s="3"/>
      <c r="G444" s="3"/>
      <c r="H444" s="3"/>
      <c r="I444" s="3"/>
      <c r="J444" s="3"/>
      <c r="K444" s="3"/>
      <c r="L444" s="545" t="s">
        <v>93</v>
      </c>
      <c r="M444" s="545"/>
      <c r="N444" s="545"/>
      <c r="O444" s="545"/>
      <c r="P444" s="545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7"/>
      <c r="AB444" s="38"/>
      <c r="AC444" s="37"/>
      <c r="AD444" s="39"/>
    </row>
    <row r="445" spans="2:33" x14ac:dyDescent="0.2">
      <c r="B445" s="36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7"/>
      <c r="AB445" s="38"/>
      <c r="AC445" s="37"/>
      <c r="AD445" s="39"/>
    </row>
    <row r="446" spans="2:33" x14ac:dyDescent="0.2">
      <c r="B446" s="36"/>
      <c r="C446" s="3"/>
      <c r="D446" s="3" t="s">
        <v>108</v>
      </c>
      <c r="E446" s="3"/>
      <c r="F446" s="3"/>
      <c r="G446" s="3"/>
      <c r="H446" s="3"/>
      <c r="I446" s="3"/>
      <c r="J446" s="3"/>
      <c r="K446" s="3"/>
      <c r="L446" s="3"/>
      <c r="M446" s="3" t="s">
        <v>100</v>
      </c>
      <c r="N446" s="3" t="s">
        <v>109</v>
      </c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7" t="s">
        <v>14</v>
      </c>
      <c r="AB446" s="38">
        <f>AB440+AB443</f>
        <v>1211.7669318426144</v>
      </c>
      <c r="AC446" s="37" t="s">
        <v>89</v>
      </c>
      <c r="AD446" s="39"/>
    </row>
    <row r="447" spans="2:33" x14ac:dyDescent="0.2">
      <c r="B447" s="36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7"/>
      <c r="AB447" s="38"/>
      <c r="AC447" s="37"/>
      <c r="AD447" s="39"/>
    </row>
    <row r="448" spans="2:33" x14ac:dyDescent="0.2">
      <c r="B448" s="26" t="s">
        <v>10</v>
      </c>
      <c r="C448" s="3"/>
      <c r="D448" s="18" t="s">
        <v>110</v>
      </c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7"/>
      <c r="AB448" s="38"/>
      <c r="AC448" s="37"/>
      <c r="AD448" s="39"/>
    </row>
    <row r="449" spans="2:30" x14ac:dyDescent="0.2">
      <c r="B449" s="36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7"/>
      <c r="AB449" s="38"/>
      <c r="AC449" s="37"/>
      <c r="AD449" s="39"/>
    </row>
    <row r="450" spans="2:30" x14ac:dyDescent="0.2">
      <c r="B450" s="36" t="s">
        <v>72</v>
      </c>
      <c r="C450" s="3"/>
      <c r="D450" s="3" t="s">
        <v>111</v>
      </c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7" t="s">
        <v>15</v>
      </c>
      <c r="AB450" s="38">
        <f>0.12*AB424*AB473</f>
        <v>52800</v>
      </c>
      <c r="AC450" s="37" t="s">
        <v>89</v>
      </c>
      <c r="AD450" s="39"/>
    </row>
    <row r="451" spans="2:30" x14ac:dyDescent="0.2">
      <c r="B451" s="36"/>
      <c r="C451" s="3"/>
      <c r="D451" s="4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7"/>
      <c r="AB451" s="38"/>
      <c r="AC451" s="37"/>
      <c r="AD451" s="39"/>
    </row>
    <row r="452" spans="2:30" x14ac:dyDescent="0.2">
      <c r="B452" s="36" t="s">
        <v>75</v>
      </c>
      <c r="C452" s="3"/>
      <c r="D452" s="3" t="s">
        <v>112</v>
      </c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7" t="s">
        <v>42</v>
      </c>
      <c r="AB452" s="38">
        <f>0.025*AB424*AB474</f>
        <v>25300</v>
      </c>
      <c r="AC452" s="37" t="s">
        <v>89</v>
      </c>
      <c r="AD452" s="39"/>
    </row>
    <row r="453" spans="2:30" x14ac:dyDescent="0.2">
      <c r="B453" s="36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7"/>
      <c r="AB453" s="38"/>
      <c r="AC453" s="37"/>
      <c r="AD453" s="39"/>
    </row>
    <row r="454" spans="2:30" x14ac:dyDescent="0.2">
      <c r="B454" s="36" t="s">
        <v>78</v>
      </c>
      <c r="C454" s="3"/>
      <c r="D454" s="3" t="s">
        <v>113</v>
      </c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543" t="s">
        <v>114</v>
      </c>
      <c r="P454" s="543"/>
      <c r="Q454" s="543"/>
      <c r="R454" s="543"/>
      <c r="S454" s="543"/>
      <c r="T454" s="543"/>
      <c r="U454" s="543"/>
      <c r="V454" s="543"/>
      <c r="W454" s="543"/>
      <c r="X454" s="42"/>
      <c r="Y454" s="42"/>
      <c r="Z454" s="3"/>
      <c r="AA454" s="37" t="s">
        <v>115</v>
      </c>
      <c r="AB454" s="38">
        <f>(0.125*AB431)/AB430</f>
        <v>500</v>
      </c>
      <c r="AC454" s="37" t="s">
        <v>89</v>
      </c>
      <c r="AD454" s="39"/>
    </row>
    <row r="455" spans="2:30" x14ac:dyDescent="0.2">
      <c r="B455" s="36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544" t="s">
        <v>93</v>
      </c>
      <c r="P455" s="544"/>
      <c r="Q455" s="544"/>
      <c r="R455" s="544"/>
      <c r="S455" s="544"/>
      <c r="T455" s="544"/>
      <c r="U455" s="544"/>
      <c r="V455" s="544"/>
      <c r="W455" s="544"/>
      <c r="X455" s="42"/>
      <c r="Y455" s="42"/>
      <c r="Z455" s="3"/>
      <c r="AA455" s="37"/>
      <c r="AB455" s="38"/>
      <c r="AC455" s="37"/>
      <c r="AD455" s="39"/>
    </row>
    <row r="456" spans="2:30" x14ac:dyDescent="0.2">
      <c r="B456" s="36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5"/>
      <c r="P456" s="5"/>
      <c r="Q456" s="5"/>
      <c r="R456" s="5"/>
      <c r="S456" s="5"/>
      <c r="T456" s="5"/>
      <c r="U456" s="5"/>
      <c r="V456" s="5"/>
      <c r="W456" s="5"/>
      <c r="X456" s="42"/>
      <c r="Y456" s="42"/>
      <c r="Z456" s="3"/>
      <c r="AA456" s="37"/>
      <c r="AB456" s="38"/>
      <c r="AC456" s="37"/>
      <c r="AD456" s="39"/>
    </row>
    <row r="457" spans="2:30" x14ac:dyDescent="0.2">
      <c r="B457" s="36" t="s">
        <v>90</v>
      </c>
      <c r="C457" s="3"/>
      <c r="D457" s="45" t="s">
        <v>116</v>
      </c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543" t="s">
        <v>117</v>
      </c>
      <c r="P457" s="543"/>
      <c r="Q457" s="543"/>
      <c r="R457" s="543"/>
      <c r="S457" s="543"/>
      <c r="T457" s="543"/>
      <c r="U457" s="543"/>
      <c r="V457" s="543"/>
      <c r="W457" s="543"/>
      <c r="X457" s="42"/>
      <c r="Y457" s="42"/>
      <c r="Z457" s="3"/>
      <c r="AA457" s="37" t="s">
        <v>55</v>
      </c>
      <c r="AB457" s="38">
        <f>(0.0875*AB428)/AB430</f>
        <v>350</v>
      </c>
      <c r="AC457" s="37" t="s">
        <v>89</v>
      </c>
      <c r="AD457" s="39"/>
    </row>
    <row r="458" spans="2:30" x14ac:dyDescent="0.2">
      <c r="B458" s="36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544" t="s">
        <v>93</v>
      </c>
      <c r="P458" s="544"/>
      <c r="Q458" s="544"/>
      <c r="R458" s="544"/>
      <c r="S458" s="544"/>
      <c r="T458" s="544"/>
      <c r="U458" s="544"/>
      <c r="V458" s="544"/>
      <c r="W458" s="544"/>
      <c r="X458" s="42"/>
      <c r="Y458" s="42"/>
      <c r="Z458" s="3"/>
      <c r="AA458" s="37"/>
      <c r="AB458" s="38"/>
      <c r="AC458" s="37"/>
      <c r="AD458" s="39"/>
    </row>
    <row r="459" spans="2:30" x14ac:dyDescent="0.2">
      <c r="B459" s="36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7"/>
      <c r="AB459" s="38"/>
      <c r="AC459" s="37"/>
      <c r="AD459" s="39"/>
    </row>
    <row r="460" spans="2:30" x14ac:dyDescent="0.2">
      <c r="B460" s="36" t="s">
        <v>118</v>
      </c>
      <c r="C460" s="3"/>
      <c r="D460" s="3" t="s">
        <v>119</v>
      </c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7" t="s">
        <v>43</v>
      </c>
      <c r="AB460" s="38">
        <f>1*AB470</f>
        <v>9000</v>
      </c>
      <c r="AC460" s="37" t="s">
        <v>89</v>
      </c>
      <c r="AD460" s="39"/>
    </row>
    <row r="461" spans="2:30" x14ac:dyDescent="0.2">
      <c r="B461" s="36" t="s">
        <v>120</v>
      </c>
      <c r="C461" s="3"/>
      <c r="D461" s="3" t="s">
        <v>121</v>
      </c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7" t="s">
        <v>122</v>
      </c>
      <c r="AB461" s="38">
        <f>1*AB471</f>
        <v>9714.2857142857138</v>
      </c>
      <c r="AC461" s="37" t="s">
        <v>89</v>
      </c>
      <c r="AD461" s="39"/>
    </row>
    <row r="462" spans="2:30" x14ac:dyDescent="0.2">
      <c r="B462" s="36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7"/>
      <c r="AB462" s="38"/>
      <c r="AC462" s="37"/>
      <c r="AD462" s="39"/>
    </row>
    <row r="463" spans="2:30" x14ac:dyDescent="0.2">
      <c r="B463" s="36"/>
      <c r="C463" s="3"/>
      <c r="D463" s="3" t="s">
        <v>123</v>
      </c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7" t="s">
        <v>124</v>
      </c>
      <c r="AB463" s="38">
        <f>AB450+AB452+AB454+AB460+AB461+AB457</f>
        <v>97664.28571428571</v>
      </c>
      <c r="AC463" s="37" t="s">
        <v>89</v>
      </c>
      <c r="AD463" s="39"/>
    </row>
    <row r="464" spans="2:30" ht="13.5" thickBot="1" x14ac:dyDescent="0.25">
      <c r="B464" s="36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7"/>
      <c r="AB464" s="38"/>
      <c r="AC464" s="37"/>
      <c r="AD464" s="39"/>
    </row>
    <row r="465" spans="2:30" ht="13.5" thickBot="1" x14ac:dyDescent="0.25">
      <c r="B465" s="26" t="s">
        <v>11</v>
      </c>
      <c r="C465" s="3"/>
      <c r="D465" s="18" t="s">
        <v>125</v>
      </c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46" t="s">
        <v>126</v>
      </c>
      <c r="AB465" s="47">
        <f>AB446+AB463</f>
        <v>98876.05264612833</v>
      </c>
      <c r="AC465" s="46" t="s">
        <v>89</v>
      </c>
      <c r="AD465" s="39"/>
    </row>
    <row r="466" spans="2:30" x14ac:dyDescent="0.2">
      <c r="B466" s="36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7"/>
      <c r="AB466" s="38"/>
      <c r="AC466" s="37"/>
      <c r="AD466" s="39"/>
    </row>
    <row r="467" spans="2:30" x14ac:dyDescent="0.2">
      <c r="B467" s="36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7"/>
      <c r="AB467" s="38"/>
      <c r="AC467" s="37"/>
      <c r="AD467" s="39"/>
    </row>
    <row r="468" spans="2:30" x14ac:dyDescent="0.2">
      <c r="B468" s="26" t="s">
        <v>16</v>
      </c>
      <c r="C468" s="18"/>
      <c r="D468" s="18" t="s">
        <v>127</v>
      </c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7"/>
      <c r="AB468" s="38"/>
      <c r="AC468" s="37"/>
      <c r="AD468" s="39"/>
    </row>
    <row r="469" spans="2:30" x14ac:dyDescent="0.2">
      <c r="B469" s="36" t="s">
        <v>72</v>
      </c>
      <c r="C469" s="3"/>
      <c r="D469" s="3" t="s">
        <v>128</v>
      </c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7" t="s">
        <v>129</v>
      </c>
      <c r="AB469" s="38">
        <v>20</v>
      </c>
      <c r="AC469" s="37" t="s">
        <v>130</v>
      </c>
      <c r="AD469" s="39"/>
    </row>
    <row r="470" spans="2:30" x14ac:dyDescent="0.2">
      <c r="B470" s="36" t="s">
        <v>75</v>
      </c>
      <c r="C470" s="3"/>
      <c r="D470" s="3" t="s">
        <v>131</v>
      </c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7" t="s">
        <v>132</v>
      </c>
      <c r="AB470" s="38">
        <f>'[14]Daftar Upah'!$F$17/7</f>
        <v>9000</v>
      </c>
      <c r="AC470" s="37" t="s">
        <v>133</v>
      </c>
      <c r="AD470" s="39"/>
    </row>
    <row r="471" spans="2:30" x14ac:dyDescent="0.2">
      <c r="B471" s="36" t="s">
        <v>78</v>
      </c>
      <c r="C471" s="3"/>
      <c r="D471" s="3" t="s">
        <v>134</v>
      </c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7" t="s">
        <v>135</v>
      </c>
      <c r="AB471" s="38">
        <f>'[14]Daftar Upah'!$F$16/7</f>
        <v>9714.2857142857138</v>
      </c>
      <c r="AC471" s="37" t="s">
        <v>133</v>
      </c>
      <c r="AD471" s="39"/>
    </row>
    <row r="472" spans="2:30" x14ac:dyDescent="0.2">
      <c r="B472" s="36" t="s">
        <v>82</v>
      </c>
      <c r="C472" s="3"/>
      <c r="D472" s="3" t="s">
        <v>136</v>
      </c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7" t="s">
        <v>137</v>
      </c>
      <c r="AB472" s="38">
        <f>AB473</f>
        <v>11000</v>
      </c>
      <c r="AC472" s="37" t="s">
        <v>40</v>
      </c>
      <c r="AD472" s="39"/>
    </row>
    <row r="473" spans="2:30" x14ac:dyDescent="0.2">
      <c r="B473" s="36" t="s">
        <v>90</v>
      </c>
      <c r="C473" s="3"/>
      <c r="D473" s="3" t="s">
        <v>138</v>
      </c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7" t="s">
        <v>139</v>
      </c>
      <c r="AB473" s="38">
        <f>'[14]Daftar Bahan'!$G$11</f>
        <v>11000</v>
      </c>
      <c r="AC473" s="37" t="s">
        <v>40</v>
      </c>
      <c r="AD473" s="39"/>
    </row>
    <row r="474" spans="2:30" x14ac:dyDescent="0.2">
      <c r="B474" s="36" t="s">
        <v>118</v>
      </c>
      <c r="C474" s="3"/>
      <c r="D474" s="3" t="s">
        <v>53</v>
      </c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7" t="s">
        <v>140</v>
      </c>
      <c r="AB474" s="38">
        <f>'[14]Daftar Bahan'!$G$12</f>
        <v>25300</v>
      </c>
      <c r="AC474" s="37" t="s">
        <v>40</v>
      </c>
      <c r="AD474" s="39"/>
    </row>
    <row r="475" spans="2:30" x14ac:dyDescent="0.2">
      <c r="B475" s="36" t="s">
        <v>120</v>
      </c>
      <c r="C475" s="3"/>
      <c r="D475" s="3" t="s">
        <v>141</v>
      </c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7"/>
      <c r="AB475" s="38"/>
      <c r="AC475" s="37"/>
      <c r="AD475" s="39"/>
    </row>
    <row r="476" spans="2:30" x14ac:dyDescent="0.2">
      <c r="B476" s="36"/>
      <c r="C476" s="3"/>
      <c r="D476" s="3" t="s">
        <v>142</v>
      </c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7"/>
      <c r="AB476" s="38"/>
      <c r="AC476" s="37"/>
      <c r="AD476" s="39"/>
    </row>
    <row r="477" spans="2:30" x14ac:dyDescent="0.2">
      <c r="B477" s="49"/>
      <c r="C477" s="50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2"/>
      <c r="AA477" s="53"/>
      <c r="AB477" s="54"/>
      <c r="AC477" s="53"/>
      <c r="AD477" s="55"/>
    </row>
    <row r="478" spans="2:30" x14ac:dyDescent="0.2">
      <c r="B478" s="56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57"/>
      <c r="AB478" s="58"/>
      <c r="AC478" s="57"/>
      <c r="AD478" s="7"/>
    </row>
  </sheetData>
  <mergeCells count="98">
    <mergeCell ref="O27:T27"/>
    <mergeCell ref="B2:AD2"/>
    <mergeCell ref="K6:M6"/>
    <mergeCell ref="C9:Z9"/>
    <mergeCell ref="AA13:AC13"/>
    <mergeCell ref="O26:T26"/>
    <mergeCell ref="AA81:AC81"/>
    <mergeCell ref="Q30:V30"/>
    <mergeCell ref="Q31:V31"/>
    <mergeCell ref="L33:P33"/>
    <mergeCell ref="L34:P34"/>
    <mergeCell ref="O44:W44"/>
    <mergeCell ref="O45:W45"/>
    <mergeCell ref="O47:W47"/>
    <mergeCell ref="O48:W48"/>
    <mergeCell ref="B70:AD70"/>
    <mergeCell ref="K74:M74"/>
    <mergeCell ref="C77:Z77"/>
    <mergeCell ref="K143:M143"/>
    <mergeCell ref="O94:T94"/>
    <mergeCell ref="O95:T95"/>
    <mergeCell ref="Q98:V98"/>
    <mergeCell ref="Q99:V99"/>
    <mergeCell ref="L101:P101"/>
    <mergeCell ref="L102:P102"/>
    <mergeCell ref="O112:W112"/>
    <mergeCell ref="O113:W113"/>
    <mergeCell ref="O115:W115"/>
    <mergeCell ref="O116:W116"/>
    <mergeCell ref="B139:AD139"/>
    <mergeCell ref="O185:W185"/>
    <mergeCell ref="C146:Z146"/>
    <mergeCell ref="AA150:AC150"/>
    <mergeCell ref="O163:T163"/>
    <mergeCell ref="O164:T164"/>
    <mergeCell ref="Q167:V167"/>
    <mergeCell ref="Q168:V168"/>
    <mergeCell ref="L170:P170"/>
    <mergeCell ref="L171:P171"/>
    <mergeCell ref="O181:W181"/>
    <mergeCell ref="O182:W182"/>
    <mergeCell ref="O184:W184"/>
    <mergeCell ref="O252:W252"/>
    <mergeCell ref="B209:AD209"/>
    <mergeCell ref="K213:M213"/>
    <mergeCell ref="C216:Z216"/>
    <mergeCell ref="AA220:AC220"/>
    <mergeCell ref="O233:T233"/>
    <mergeCell ref="O234:T234"/>
    <mergeCell ref="Q237:V237"/>
    <mergeCell ref="Q238:V238"/>
    <mergeCell ref="L240:P240"/>
    <mergeCell ref="L241:P241"/>
    <mergeCell ref="O251:W251"/>
    <mergeCell ref="L310:P310"/>
    <mergeCell ref="O254:W254"/>
    <mergeCell ref="O255:W255"/>
    <mergeCell ref="B278:AD278"/>
    <mergeCell ref="K282:M282"/>
    <mergeCell ref="C285:Z285"/>
    <mergeCell ref="AA289:AC289"/>
    <mergeCell ref="O302:T302"/>
    <mergeCell ref="O303:T303"/>
    <mergeCell ref="Q306:V306"/>
    <mergeCell ref="Q307:V307"/>
    <mergeCell ref="L309:P309"/>
    <mergeCell ref="Q374:V374"/>
    <mergeCell ref="O320:W320"/>
    <mergeCell ref="O321:W321"/>
    <mergeCell ref="O323:W323"/>
    <mergeCell ref="O324:W324"/>
    <mergeCell ref="B345:AD345"/>
    <mergeCell ref="K349:M349"/>
    <mergeCell ref="C352:Z352"/>
    <mergeCell ref="AA356:AC356"/>
    <mergeCell ref="O369:T369"/>
    <mergeCell ref="O370:T370"/>
    <mergeCell ref="Q373:V373"/>
    <mergeCell ref="O437:T437"/>
    <mergeCell ref="L376:P376"/>
    <mergeCell ref="L377:P377"/>
    <mergeCell ref="O387:W387"/>
    <mergeCell ref="O388:W388"/>
    <mergeCell ref="O390:W390"/>
    <mergeCell ref="O391:W391"/>
    <mergeCell ref="B412:AD412"/>
    <mergeCell ref="K416:M416"/>
    <mergeCell ref="C419:Z419"/>
    <mergeCell ref="AA423:AC423"/>
    <mergeCell ref="O436:T436"/>
    <mergeCell ref="O457:W457"/>
    <mergeCell ref="O458:W458"/>
    <mergeCell ref="Q440:V440"/>
    <mergeCell ref="Q441:V441"/>
    <mergeCell ref="L443:P443"/>
    <mergeCell ref="L444:P444"/>
    <mergeCell ref="O454:W454"/>
    <mergeCell ref="O455:W455"/>
  </mergeCells>
  <pageMargins left="0.7" right="0.7" top="0.75" bottom="0.75" header="0.3" footer="0.3"/>
  <pageSetup orientation="portrait" horizontalDpi="4294967293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21"/>
  <sheetViews>
    <sheetView topLeftCell="A25" workbookViewId="0">
      <selection activeCell="J9" sqref="J9"/>
    </sheetView>
  </sheetViews>
  <sheetFormatPr defaultRowHeight="14.25" x14ac:dyDescent="0.2"/>
  <cols>
    <col min="1" max="1" width="5.140625" style="68" customWidth="1"/>
    <col min="2" max="2" width="20.85546875" style="68" customWidth="1"/>
    <col min="3" max="3" width="1.7109375" style="68" customWidth="1"/>
    <col min="4" max="4" width="26.85546875" style="68" customWidth="1"/>
    <col min="5" max="6" width="12.7109375" style="82" customWidth="1"/>
    <col min="7" max="7" width="31.42578125" style="83" customWidth="1"/>
    <col min="8" max="8" width="9.5703125" style="68" customWidth="1"/>
    <col min="9" max="16384" width="9.140625" style="68"/>
  </cols>
  <sheetData>
    <row r="1" spans="1:8" ht="15" thickTop="1" x14ac:dyDescent="0.2">
      <c r="A1" s="64"/>
      <c r="B1" s="65"/>
      <c r="C1" s="65"/>
      <c r="D1" s="65"/>
      <c r="E1" s="66"/>
      <c r="F1" s="66"/>
      <c r="G1" s="67"/>
    </row>
    <row r="2" spans="1:8" ht="24.95" customHeight="1" x14ac:dyDescent="0.3">
      <c r="A2" s="554" t="s">
        <v>149</v>
      </c>
      <c r="B2" s="555"/>
      <c r="C2" s="555"/>
      <c r="D2" s="555"/>
      <c r="E2" s="555"/>
      <c r="F2" s="555"/>
      <c r="G2" s="556"/>
      <c r="H2" s="69"/>
    </row>
    <row r="3" spans="1:8" x14ac:dyDescent="0.2">
      <c r="A3" s="70"/>
      <c r="B3" s="71"/>
      <c r="C3" s="71"/>
      <c r="D3" s="71"/>
      <c r="E3" s="72"/>
      <c r="F3" s="72"/>
      <c r="G3" s="73"/>
    </row>
    <row r="4" spans="1:8" s="77" customFormat="1" ht="29.25" customHeight="1" x14ac:dyDescent="0.2">
      <c r="A4" s="74"/>
      <c r="B4" s="75" t="s">
        <v>1</v>
      </c>
      <c r="C4" s="76" t="s">
        <v>0</v>
      </c>
      <c r="D4" s="557"/>
      <c r="E4" s="558"/>
      <c r="F4" s="558"/>
      <c r="G4" s="559"/>
    </row>
    <row r="5" spans="1:8" s="77" customFormat="1" x14ac:dyDescent="0.2">
      <c r="A5" s="74"/>
      <c r="B5" s="1" t="s">
        <v>2</v>
      </c>
      <c r="C5" s="76" t="s">
        <v>0</v>
      </c>
      <c r="D5" s="78"/>
      <c r="E5" s="76"/>
      <c r="F5" s="76"/>
      <c r="G5" s="79"/>
    </row>
    <row r="6" spans="1:8" s="77" customFormat="1" ht="30.2" customHeight="1" thickBot="1" x14ac:dyDescent="0.25">
      <c r="A6" s="80"/>
      <c r="B6" s="63" t="s">
        <v>3</v>
      </c>
      <c r="C6" s="81" t="s">
        <v>0</v>
      </c>
      <c r="D6" s="560"/>
      <c r="E6" s="561"/>
      <c r="F6" s="561"/>
      <c r="G6" s="562"/>
    </row>
    <row r="7" spans="1:8" ht="15.75" thickTop="1" thickBot="1" x14ac:dyDescent="0.25"/>
    <row r="8" spans="1:8" ht="15" thickTop="1" x14ac:dyDescent="0.2">
      <c r="A8" s="563" t="s">
        <v>150</v>
      </c>
      <c r="B8" s="565" t="s">
        <v>151</v>
      </c>
      <c r="C8" s="565"/>
      <c r="D8" s="565"/>
      <c r="E8" s="565" t="s">
        <v>36</v>
      </c>
      <c r="F8" s="565" t="s">
        <v>152</v>
      </c>
      <c r="G8" s="567" t="s">
        <v>37</v>
      </c>
    </row>
    <row r="9" spans="1:8" ht="15" thickBot="1" x14ac:dyDescent="0.25">
      <c r="A9" s="564"/>
      <c r="B9" s="566"/>
      <c r="C9" s="566"/>
      <c r="D9" s="566"/>
      <c r="E9" s="566"/>
      <c r="F9" s="566"/>
      <c r="G9" s="568"/>
    </row>
    <row r="10" spans="1:8" ht="15" x14ac:dyDescent="0.25">
      <c r="A10" s="84"/>
      <c r="B10" s="85"/>
      <c r="C10" s="86"/>
      <c r="D10" s="87"/>
      <c r="E10" s="88"/>
      <c r="F10" s="85"/>
      <c r="G10" s="89"/>
    </row>
    <row r="11" spans="1:8" x14ac:dyDescent="0.2">
      <c r="A11" s="90" t="s">
        <v>31</v>
      </c>
      <c r="B11" s="91" t="s">
        <v>153</v>
      </c>
      <c r="C11" s="71"/>
      <c r="D11" s="92"/>
      <c r="E11" s="93" t="s">
        <v>64</v>
      </c>
      <c r="F11" s="94">
        <v>1</v>
      </c>
      <c r="G11" s="95">
        <f>'Ans alat'!AB192</f>
        <v>32327.302197802197</v>
      </c>
    </row>
    <row r="12" spans="1:8" x14ac:dyDescent="0.2">
      <c r="A12" s="90" t="s">
        <v>31</v>
      </c>
      <c r="B12" s="91" t="s">
        <v>154</v>
      </c>
      <c r="C12" s="71"/>
      <c r="D12" s="92"/>
      <c r="E12" s="93" t="s">
        <v>64</v>
      </c>
      <c r="F12" s="94">
        <v>1</v>
      </c>
      <c r="G12" s="95">
        <f>'Ans alat'!AB465</f>
        <v>98876.05264612833</v>
      </c>
    </row>
    <row r="13" spans="1:8" x14ac:dyDescent="0.2">
      <c r="A13" s="90" t="s">
        <v>31</v>
      </c>
      <c r="B13" s="91" t="s">
        <v>63</v>
      </c>
      <c r="C13" s="71"/>
      <c r="D13" s="92"/>
      <c r="E13" s="93" t="s">
        <v>64</v>
      </c>
      <c r="F13" s="94">
        <v>1</v>
      </c>
      <c r="G13" s="95">
        <f>'Ans alat'!AB55</f>
        <v>587888.65343090589</v>
      </c>
    </row>
    <row r="14" spans="1:8" x14ac:dyDescent="0.2">
      <c r="A14" s="90" t="s">
        <v>31</v>
      </c>
      <c r="B14" s="91" t="s">
        <v>155</v>
      </c>
      <c r="C14" s="71"/>
      <c r="D14" s="92"/>
      <c r="E14" s="93" t="s">
        <v>64</v>
      </c>
      <c r="F14" s="94">
        <v>1</v>
      </c>
      <c r="G14" s="95">
        <f>'Ans alat'!AB398</f>
        <v>267260.45723653899</v>
      </c>
    </row>
    <row r="15" spans="1:8" x14ac:dyDescent="0.2">
      <c r="A15" s="90" t="s">
        <v>31</v>
      </c>
      <c r="B15" s="91" t="s">
        <v>158</v>
      </c>
      <c r="C15" s="71"/>
      <c r="D15" s="92"/>
      <c r="E15" s="93" t="s">
        <v>64</v>
      </c>
      <c r="F15" s="94">
        <v>1</v>
      </c>
      <c r="G15" s="95">
        <f>'Ans alat'!AB262</f>
        <v>1253528.2161622506</v>
      </c>
    </row>
    <row r="16" spans="1:8" x14ac:dyDescent="0.2">
      <c r="A16" s="90" t="s">
        <v>31</v>
      </c>
      <c r="B16" s="91" t="s">
        <v>156</v>
      </c>
      <c r="C16" s="71"/>
      <c r="D16" s="92"/>
      <c r="E16" s="93" t="s">
        <v>64</v>
      </c>
      <c r="F16" s="94">
        <v>1</v>
      </c>
      <c r="G16" s="95">
        <f>'Ans alat'!AB331</f>
        <v>33289.931318681316</v>
      </c>
    </row>
    <row r="17" spans="1:7" x14ac:dyDescent="0.2">
      <c r="A17" s="90" t="s">
        <v>31</v>
      </c>
      <c r="B17" s="91" t="s">
        <v>157</v>
      </c>
      <c r="C17" s="71"/>
      <c r="D17" s="92"/>
      <c r="E17" s="93" t="s">
        <v>64</v>
      </c>
      <c r="F17" s="94">
        <v>1</v>
      </c>
      <c r="G17" s="95">
        <f>'Ans alat'!AB123</f>
        <v>53456.68406593406</v>
      </c>
    </row>
    <row r="18" spans="1:7" ht="15" thickBot="1" x14ac:dyDescent="0.25">
      <c r="A18" s="96"/>
      <c r="B18" s="97"/>
      <c r="C18" s="98"/>
      <c r="D18" s="99"/>
      <c r="E18" s="100"/>
      <c r="F18" s="101"/>
      <c r="G18" s="102"/>
    </row>
    <row r="19" spans="1:7" ht="15" thickTop="1" x14ac:dyDescent="0.2"/>
    <row r="20" spans="1:7" ht="15" x14ac:dyDescent="0.25">
      <c r="E20" s="103"/>
      <c r="F20" s="103"/>
      <c r="G20" s="104"/>
    </row>
    <row r="21" spans="1:7" x14ac:dyDescent="0.2">
      <c r="E21" s="103"/>
      <c r="F21" s="103"/>
      <c r="G21" s="103"/>
    </row>
  </sheetData>
  <mergeCells count="8">
    <mergeCell ref="A2:G2"/>
    <mergeCell ref="D4:G4"/>
    <mergeCell ref="D6:G6"/>
    <mergeCell ref="A8:A9"/>
    <mergeCell ref="B8:D9"/>
    <mergeCell ref="E8:E9"/>
    <mergeCell ref="F8:F9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TOTAL (2)</vt:lpstr>
      <vt:lpstr>TOTAL</vt:lpstr>
      <vt:lpstr>REKAP GEDUNG</vt:lpstr>
      <vt:lpstr>GEDUNG</vt:lpstr>
      <vt:lpstr>BACK UP </vt:lpstr>
      <vt:lpstr>Ans alat</vt:lpstr>
      <vt:lpstr>Daftar Alat</vt:lpstr>
      <vt:lpstr>'REKAP GEDUNG'!P</vt:lpstr>
      <vt:lpstr>TOTAL!P</vt:lpstr>
      <vt:lpstr>'TOTAL (2)'!P</vt:lpstr>
      <vt:lpstr>'BACK UP '!Print_Area</vt:lpstr>
      <vt:lpstr>GEDUNG!Print_Area</vt:lpstr>
      <vt:lpstr>'REKAP GEDUNG'!Print_Area</vt:lpstr>
      <vt:lpstr>TOTAL!Print_Area</vt:lpstr>
      <vt:lpstr>'TOTAL (2)'!Print_Area</vt:lpstr>
      <vt:lpstr>GEDUNG!Print_Titles</vt:lpstr>
    </vt:vector>
  </TitlesOfParts>
  <Company>GLOBAL TEKNIK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Nicko</dc:creator>
  <cp:lastModifiedBy>USER</cp:lastModifiedBy>
  <cp:lastPrinted>2021-05-27T06:10:02Z</cp:lastPrinted>
  <dcterms:created xsi:type="dcterms:W3CDTF">2009-12-19T05:18:07Z</dcterms:created>
  <dcterms:modified xsi:type="dcterms:W3CDTF">2021-05-27T06:11:20Z</dcterms:modified>
</cp:coreProperties>
</file>